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https://danegovco-my.sharepoint.com/personal/learroyoe_dane_gov_co/Documents/Coordinación GTH/Rediseño Organizacional/Documentos Finales/Documentos para publicar 28 sept/"/>
    </mc:Choice>
  </mc:AlternateContent>
  <xr:revisionPtr revIDLastSave="9" documentId="13_ncr:1_{D99E9057-ACF7-AD41-9E94-95D199A29C22}" xr6:coauthVersionLast="47" xr6:coauthVersionMax="47" xr10:uidLastSave="{08C295E8-0EC8-6542-A43E-4FAE46313E9B}"/>
  <workbookProtection workbookAlgorithmName="SHA-512" workbookHashValue="L/Mf7weOl4CM8LH6zhT9+O+rEhYbry+5MSoDe3xTAOjqnrgZi6BBC1JYZTNYNkTlyGLuwfgheAShLTablJ2Cqw==" workbookSaltValue="V+kq106LRENrITbGMkTOtg==" workbookSpinCount="100000" lockStructure="1"/>
  <bookViews>
    <workbookView xWindow="0" yWindow="500" windowWidth="28800" windowHeight="18000" xr2:uid="{01BCB43A-7011-4C4E-B278-B2FDF8B9FFF4}"/>
  </bookViews>
  <sheets>
    <sheet name="Cargos_Crear" sheetId="6" r:id="rId1"/>
    <sheet name="Cargos_Suprimir" sheetId="1" r:id="rId2"/>
    <sheet name="Resumen" sheetId="5" r:id="rId3"/>
    <sheet name="Ubicación Funcional Cargos Sup"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1" l="1"/>
  <c r="D13" i="6"/>
  <c r="D34" i="6" s="1"/>
  <c r="H30" i="5" l="1"/>
  <c r="D30" i="5"/>
  <c r="H15" i="5"/>
  <c r="D15" i="5"/>
  <c r="D45" i="1" l="1"/>
  <c r="AO45" i="1" s="1"/>
  <c r="D44" i="1"/>
  <c r="AM44" i="1" s="1"/>
  <c r="D42" i="1"/>
  <c r="AL42" i="1" s="1"/>
  <c r="D41" i="1"/>
  <c r="AR41" i="1" s="1"/>
  <c r="AN41" i="1"/>
  <c r="AL39" i="1"/>
  <c r="AL38" i="1" s="1"/>
  <c r="AS45" i="1"/>
  <c r="AK45" i="1"/>
  <c r="AJ45" i="1"/>
  <c r="AE45" i="1"/>
  <c r="U45" i="1"/>
  <c r="L45" i="1"/>
  <c r="I45" i="1"/>
  <c r="AO44" i="1"/>
  <c r="AE44" i="1"/>
  <c r="AE43" i="1" s="1"/>
  <c r="Y44" i="1"/>
  <c r="U44" i="1"/>
  <c r="U43" i="1" s="1"/>
  <c r="AP43" i="1"/>
  <c r="AD43" i="1"/>
  <c r="AC43" i="1"/>
  <c r="AB43" i="1"/>
  <c r="AA43" i="1"/>
  <c r="X43" i="1"/>
  <c r="T43" i="1"/>
  <c r="S43" i="1"/>
  <c r="R43" i="1"/>
  <c r="Q43" i="1"/>
  <c r="O43" i="1"/>
  <c r="F43" i="1"/>
  <c r="C43" i="1"/>
  <c r="AR42" i="1"/>
  <c r="AO42" i="1"/>
  <c r="AN42" i="1"/>
  <c r="AM42" i="1"/>
  <c r="AJ42" i="1"/>
  <c r="AE42" i="1"/>
  <c r="Y42" i="1"/>
  <c r="U42" i="1"/>
  <c r="H42" i="1"/>
  <c r="AG42" i="1" s="1"/>
  <c r="K42" i="1"/>
  <c r="E42" i="1"/>
  <c r="AS41" i="1"/>
  <c r="AL41" i="1"/>
  <c r="AK41" i="1"/>
  <c r="AE41" i="1"/>
  <c r="U41" i="1"/>
  <c r="H41" i="1"/>
  <c r="K41" i="1"/>
  <c r="AP40" i="1"/>
  <c r="AD40" i="1"/>
  <c r="AC40" i="1"/>
  <c r="AB40" i="1"/>
  <c r="AA40" i="1"/>
  <c r="X40" i="1"/>
  <c r="T40" i="1"/>
  <c r="S40" i="1"/>
  <c r="R40" i="1"/>
  <c r="Q40" i="1"/>
  <c r="O40" i="1"/>
  <c r="F40" i="1"/>
  <c r="D40" i="1"/>
  <c r="C40" i="1"/>
  <c r="AO39" i="1"/>
  <c r="AO38" i="1" s="1"/>
  <c r="AM39" i="1"/>
  <c r="AM38" i="1" s="1"/>
  <c r="AF39" i="1"/>
  <c r="AE39" i="1"/>
  <c r="AE38" i="1" s="1"/>
  <c r="Y39" i="1"/>
  <c r="Y38" i="1" s="1"/>
  <c r="U39" i="1"/>
  <c r="U38" i="1" s="1"/>
  <c r="E39" i="1"/>
  <c r="AP38" i="1"/>
  <c r="AF38" i="1"/>
  <c r="AD38" i="1"/>
  <c r="AD46" i="1" s="1"/>
  <c r="AC38" i="1"/>
  <c r="AC46" i="1" s="1"/>
  <c r="AB38" i="1"/>
  <c r="AA38" i="1"/>
  <c r="X38" i="1"/>
  <c r="T38" i="1"/>
  <c r="S38" i="1"/>
  <c r="R38" i="1"/>
  <c r="R46" i="1" s="1"/>
  <c r="Q38" i="1"/>
  <c r="O38" i="1"/>
  <c r="L38" i="1"/>
  <c r="G38" i="1"/>
  <c r="F38" i="1"/>
  <c r="C38" i="1"/>
  <c r="AE19" i="1"/>
  <c r="U19" i="1"/>
  <c r="AL19" i="1"/>
  <c r="AP17" i="1"/>
  <c r="AD17" i="1"/>
  <c r="AC17" i="1"/>
  <c r="AB17" i="1"/>
  <c r="AA17" i="1"/>
  <c r="X17" i="1"/>
  <c r="T17" i="1"/>
  <c r="S17" i="1"/>
  <c r="R17" i="1"/>
  <c r="Q17" i="1"/>
  <c r="O17" i="1"/>
  <c r="F17" i="1"/>
  <c r="C17" i="1"/>
  <c r="AE18" i="1"/>
  <c r="AE17" i="1" s="1"/>
  <c r="U18" i="1"/>
  <c r="AL18" i="1"/>
  <c r="AP14" i="1"/>
  <c r="AD14" i="1"/>
  <c r="AC14" i="1"/>
  <c r="AB14" i="1"/>
  <c r="AA14" i="1"/>
  <c r="X14" i="1"/>
  <c r="T14" i="1"/>
  <c r="S14" i="1"/>
  <c r="R14" i="1"/>
  <c r="Q14" i="1"/>
  <c r="O14" i="1"/>
  <c r="F14" i="1"/>
  <c r="D14" i="1"/>
  <c r="C14" i="1"/>
  <c r="AP12" i="1"/>
  <c r="AD12" i="1"/>
  <c r="AD20" i="1" s="1"/>
  <c r="AC12" i="1"/>
  <c r="AC20" i="1" s="1"/>
  <c r="AB12" i="1"/>
  <c r="AA12" i="1"/>
  <c r="X12" i="1"/>
  <c r="T12" i="1"/>
  <c r="S12" i="1"/>
  <c r="R12" i="1"/>
  <c r="R20" i="1" s="1"/>
  <c r="Q12" i="1"/>
  <c r="O12" i="1"/>
  <c r="L12" i="1"/>
  <c r="G12" i="1"/>
  <c r="F12" i="1"/>
  <c r="D12" i="1"/>
  <c r="C12" i="1"/>
  <c r="AE16" i="1"/>
  <c r="U16" i="1"/>
  <c r="AL16" i="1"/>
  <c r="AE15" i="1"/>
  <c r="U15" i="1"/>
  <c r="AL15" i="1"/>
  <c r="AM41" i="1" l="1"/>
  <c r="T46" i="1"/>
  <c r="X46" i="1"/>
  <c r="I41" i="1"/>
  <c r="I40" i="1" s="1"/>
  <c r="O46" i="1"/>
  <c r="AO41" i="1"/>
  <c r="AO40" i="1" s="1"/>
  <c r="I42" i="1"/>
  <c r="AK42" i="1"/>
  <c r="AS42" i="1"/>
  <c r="AT42" i="1" s="1"/>
  <c r="C20" i="1"/>
  <c r="Q20" i="1"/>
  <c r="Q46" i="1"/>
  <c r="AB46" i="1"/>
  <c r="Y41" i="1"/>
  <c r="L42" i="1"/>
  <c r="AR45" i="1"/>
  <c r="AT45" i="1" s="1"/>
  <c r="AR44" i="1"/>
  <c r="AN44" i="1"/>
  <c r="AM40" i="1"/>
  <c r="H39" i="1"/>
  <c r="AG39" i="1" s="1"/>
  <c r="AG38" i="1" s="1"/>
  <c r="AN39" i="1"/>
  <c r="AN38" i="1" s="1"/>
  <c r="U17" i="1"/>
  <c r="F20" i="1"/>
  <c r="AE40" i="1"/>
  <c r="AL45" i="1"/>
  <c r="D38" i="1"/>
  <c r="AA46" i="1"/>
  <c r="I39" i="1"/>
  <c r="I38" i="1" s="1"/>
  <c r="AJ39" i="1"/>
  <c r="AJ38" i="1" s="1"/>
  <c r="AR39" i="1"/>
  <c r="K44" i="1"/>
  <c r="AJ44" i="1"/>
  <c r="AJ43" i="1" s="1"/>
  <c r="E45" i="1"/>
  <c r="W45" i="1" s="1"/>
  <c r="Z45" i="1" s="1"/>
  <c r="AF45" i="1" s="1"/>
  <c r="Y45" i="1"/>
  <c r="Y43" i="1" s="1"/>
  <c r="AM45" i="1"/>
  <c r="AM43" i="1" s="1"/>
  <c r="AM46" i="1" s="1"/>
  <c r="AL40" i="1"/>
  <c r="X20" i="1"/>
  <c r="K39" i="1"/>
  <c r="K38" i="1" s="1"/>
  <c r="AK39" i="1"/>
  <c r="AK38" i="1" s="1"/>
  <c r="AS39" i="1"/>
  <c r="AS38" i="1" s="1"/>
  <c r="U40" i="1"/>
  <c r="U46" i="1" s="1"/>
  <c r="H44" i="1"/>
  <c r="AK44" i="1"/>
  <c r="AK43" i="1" s="1"/>
  <c r="K45" i="1"/>
  <c r="J45" i="1" s="1"/>
  <c r="N45" i="1" s="1"/>
  <c r="AN45" i="1"/>
  <c r="C46" i="1"/>
  <c r="AS44" i="1"/>
  <c r="AT44" i="1" s="1"/>
  <c r="AP46" i="1"/>
  <c r="I44" i="1"/>
  <c r="I43" i="1" s="1"/>
  <c r="H45" i="1"/>
  <c r="AG45" i="1" s="1"/>
  <c r="G43" i="1"/>
  <c r="D43" i="1"/>
  <c r="E44" i="1"/>
  <c r="L44" i="1"/>
  <c r="L43" i="1" s="1"/>
  <c r="AL44" i="1"/>
  <c r="AO43" i="1"/>
  <c r="AK40" i="1"/>
  <c r="K40" i="1"/>
  <c r="AN40" i="1"/>
  <c r="G40" i="1"/>
  <c r="AS40" i="1"/>
  <c r="Y40" i="1"/>
  <c r="E41" i="1"/>
  <c r="AI41" i="1" s="1"/>
  <c r="L41" i="1"/>
  <c r="L40" i="1" s="1"/>
  <c r="AJ41" i="1"/>
  <c r="AJ40" i="1" s="1"/>
  <c r="E38" i="1"/>
  <c r="S46" i="1"/>
  <c r="AR38" i="1"/>
  <c r="AG41" i="1"/>
  <c r="H40" i="1"/>
  <c r="AE46" i="1"/>
  <c r="AH42" i="1"/>
  <c r="W42" i="1"/>
  <c r="Z42" i="1" s="1"/>
  <c r="AF42" i="1" s="1"/>
  <c r="J42" i="1"/>
  <c r="AI42" i="1"/>
  <c r="F46" i="1"/>
  <c r="AT41" i="1"/>
  <c r="AR40" i="1"/>
  <c r="E43" i="1"/>
  <c r="E40" i="1"/>
  <c r="AL14" i="1"/>
  <c r="S20" i="1"/>
  <c r="AA20" i="1"/>
  <c r="U14" i="1"/>
  <c r="AE14" i="1"/>
  <c r="O20" i="1"/>
  <c r="T20" i="1"/>
  <c r="AB20" i="1"/>
  <c r="AP20" i="1"/>
  <c r="AL17" i="1"/>
  <c r="I19" i="1"/>
  <c r="AM19" i="1"/>
  <c r="AR19" i="1"/>
  <c r="D17" i="1"/>
  <c r="D20" i="1" s="1"/>
  <c r="E19" i="1"/>
  <c r="AJ19" i="1"/>
  <c r="AN19" i="1"/>
  <c r="AS19" i="1"/>
  <c r="K19" i="1"/>
  <c r="Y19" i="1"/>
  <c r="AK19" i="1"/>
  <c r="AO19" i="1"/>
  <c r="H19" i="1"/>
  <c r="L19" i="1"/>
  <c r="I18" i="1"/>
  <c r="AM18" i="1"/>
  <c r="AR18" i="1"/>
  <c r="E18" i="1"/>
  <c r="AJ18" i="1"/>
  <c r="AN18" i="1"/>
  <c r="AS18" i="1"/>
  <c r="Y18" i="1"/>
  <c r="AK18" i="1"/>
  <c r="AO18" i="1"/>
  <c r="H18" i="1"/>
  <c r="AG18" i="1" s="1"/>
  <c r="L18" i="1"/>
  <c r="AM16" i="1"/>
  <c r="E16" i="1"/>
  <c r="AN16" i="1"/>
  <c r="K16" i="1"/>
  <c r="Y16" i="1"/>
  <c r="AK16" i="1"/>
  <c r="AO16" i="1"/>
  <c r="I16" i="1"/>
  <c r="AR16" i="1"/>
  <c r="AJ16" i="1"/>
  <c r="AS16" i="1"/>
  <c r="H16" i="1"/>
  <c r="AG16" i="1" s="1"/>
  <c r="L16" i="1"/>
  <c r="AM15" i="1"/>
  <c r="E15" i="1"/>
  <c r="AJ15" i="1"/>
  <c r="AK15" i="1"/>
  <c r="I15" i="1"/>
  <c r="AR15" i="1"/>
  <c r="AN15" i="1"/>
  <c r="AS15" i="1"/>
  <c r="G14" i="1"/>
  <c r="K15" i="1"/>
  <c r="Y15" i="1"/>
  <c r="AO15" i="1"/>
  <c r="H15" i="1"/>
  <c r="L15" i="1"/>
  <c r="AH41" i="1" l="1"/>
  <c r="AR43" i="1"/>
  <c r="H43" i="1"/>
  <c r="AT39" i="1"/>
  <c r="AT38" i="1" s="1"/>
  <c r="AI45" i="1"/>
  <c r="AN43" i="1"/>
  <c r="AN46" i="1" s="1"/>
  <c r="AT43" i="1"/>
  <c r="K43" i="1"/>
  <c r="J44" i="1"/>
  <c r="D46" i="1"/>
  <c r="AO46" i="1"/>
  <c r="AS43" i="1"/>
  <c r="AS46" i="1" s="1"/>
  <c r="AG44" i="1"/>
  <c r="AG43" i="1" s="1"/>
  <c r="E14" i="1"/>
  <c r="AK46" i="1"/>
  <c r="H38" i="1"/>
  <c r="I46" i="1"/>
  <c r="AI39" i="1"/>
  <c r="AI38" i="1" s="1"/>
  <c r="AH45" i="1"/>
  <c r="K46" i="1"/>
  <c r="J39" i="1"/>
  <c r="J38" i="1" s="1"/>
  <c r="AT40" i="1"/>
  <c r="AI40" i="1"/>
  <c r="AH39" i="1"/>
  <c r="AH38" i="1" s="1"/>
  <c r="I14" i="1"/>
  <c r="E46" i="1"/>
  <c r="I17" i="1"/>
  <c r="W44" i="1"/>
  <c r="Z44" i="1" s="1"/>
  <c r="Y46" i="1"/>
  <c r="AL43" i="1"/>
  <c r="AL46" i="1" s="1"/>
  <c r="G46" i="1"/>
  <c r="AH40" i="1"/>
  <c r="K14" i="1"/>
  <c r="L46" i="1"/>
  <c r="AJ46" i="1"/>
  <c r="AH44" i="1"/>
  <c r="AH43" i="1" s="1"/>
  <c r="AI44" i="1"/>
  <c r="W41" i="1"/>
  <c r="W40" i="1" s="1"/>
  <c r="J41" i="1"/>
  <c r="N41" i="1" s="1"/>
  <c r="AQ42" i="1"/>
  <c r="J43" i="1"/>
  <c r="N44" i="1"/>
  <c r="N43" i="1" s="1"/>
  <c r="N42" i="1"/>
  <c r="M42" i="1" s="1"/>
  <c r="P42" i="1" s="1"/>
  <c r="V42" i="1" s="1"/>
  <c r="AG40" i="1"/>
  <c r="AG46" i="1" s="1"/>
  <c r="AQ41" i="1"/>
  <c r="H46" i="1"/>
  <c r="W43" i="1"/>
  <c r="Z41" i="1"/>
  <c r="AR46" i="1"/>
  <c r="W39" i="1"/>
  <c r="M45" i="1"/>
  <c r="P45" i="1" s="1"/>
  <c r="V45" i="1" s="1"/>
  <c r="H17" i="1"/>
  <c r="AS14" i="1"/>
  <c r="AK14" i="1"/>
  <c r="AN14" i="1"/>
  <c r="AJ14" i="1"/>
  <c r="Y14" i="1"/>
  <c r="AM17" i="1"/>
  <c r="AO14" i="1"/>
  <c r="L14" i="1"/>
  <c r="AR14" i="1"/>
  <c r="AG15" i="1"/>
  <c r="AG14" i="1" s="1"/>
  <c r="H14" i="1"/>
  <c r="AM14" i="1"/>
  <c r="E17" i="1"/>
  <c r="AT19" i="1"/>
  <c r="AK17" i="1"/>
  <c r="AS17" i="1"/>
  <c r="AR17" i="1"/>
  <c r="L17" i="1"/>
  <c r="AN17" i="1"/>
  <c r="Y17" i="1"/>
  <c r="AJ17" i="1"/>
  <c r="AO17" i="1"/>
  <c r="G17" i="1"/>
  <c r="G20" i="1" s="1"/>
  <c r="AG19" i="1"/>
  <c r="AH19" i="1"/>
  <c r="W19" i="1"/>
  <c r="Z19" i="1" s="1"/>
  <c r="AF19" i="1" s="1"/>
  <c r="J19" i="1"/>
  <c r="N19" i="1" s="1"/>
  <c r="AI19" i="1"/>
  <c r="K18" i="1"/>
  <c r="K17" i="1" s="1"/>
  <c r="W18" i="1"/>
  <c r="AI18" i="1"/>
  <c r="AT18" i="1"/>
  <c r="AT16" i="1"/>
  <c r="AH16" i="1"/>
  <c r="W16" i="1"/>
  <c r="Z16" i="1" s="1"/>
  <c r="AF16" i="1" s="1"/>
  <c r="J16" i="1"/>
  <c r="AI16" i="1"/>
  <c r="AT15" i="1"/>
  <c r="AH15" i="1"/>
  <c r="W15" i="1"/>
  <c r="J15" i="1"/>
  <c r="AI15" i="1"/>
  <c r="AQ40" i="1" l="1"/>
  <c r="AU42" i="1"/>
  <c r="E27" i="5" s="1"/>
  <c r="J27" i="5" s="1"/>
  <c r="AI43" i="1"/>
  <c r="AI46" i="1" s="1"/>
  <c r="AQ45" i="1"/>
  <c r="AU45" i="1" s="1"/>
  <c r="E29" i="5" s="1"/>
  <c r="J29" i="5" s="1"/>
  <c r="AT46" i="1"/>
  <c r="N40" i="1"/>
  <c r="N39" i="1"/>
  <c r="N38" i="1" s="1"/>
  <c r="AQ39" i="1"/>
  <c r="AQ38" i="1" s="1"/>
  <c r="AI17" i="1"/>
  <c r="L20" i="1"/>
  <c r="AQ44" i="1"/>
  <c r="AH46" i="1"/>
  <c r="M41" i="1"/>
  <c r="M40" i="1" s="1"/>
  <c r="N46" i="1"/>
  <c r="J40" i="1"/>
  <c r="J46" i="1" s="1"/>
  <c r="AQ16" i="1"/>
  <c r="M44" i="1"/>
  <c r="P44" i="1" s="1"/>
  <c r="V44" i="1" s="1"/>
  <c r="AF41" i="1"/>
  <c r="AF40" i="1" s="1"/>
  <c r="Z40" i="1"/>
  <c r="Z43" i="1"/>
  <c r="AF44" i="1"/>
  <c r="AF43" i="1" s="1"/>
  <c r="M39" i="1"/>
  <c r="W38" i="1"/>
  <c r="W46" i="1" s="1"/>
  <c r="Z39" i="1"/>
  <c r="Z38" i="1" s="1"/>
  <c r="AT17" i="1"/>
  <c r="AH14" i="1"/>
  <c r="Z15" i="1"/>
  <c r="W14" i="1"/>
  <c r="AI14" i="1"/>
  <c r="AT14" i="1"/>
  <c r="J18" i="1"/>
  <c r="J17" i="1" s="1"/>
  <c r="N15" i="1"/>
  <c r="J14" i="1"/>
  <c r="AQ19" i="1"/>
  <c r="W17" i="1"/>
  <c r="M19" i="1"/>
  <c r="P19" i="1" s="1"/>
  <c r="V19" i="1" s="1"/>
  <c r="AU19" i="1" s="1"/>
  <c r="E14" i="5" s="1"/>
  <c r="J14" i="5" s="1"/>
  <c r="AG17" i="1"/>
  <c r="AH18" i="1"/>
  <c r="AH17" i="1" s="1"/>
  <c r="Z18" i="1"/>
  <c r="Z17" i="1" s="1"/>
  <c r="N16" i="1"/>
  <c r="M16" i="1" s="1"/>
  <c r="P16" i="1" s="1"/>
  <c r="V16" i="1" s="1"/>
  <c r="AQ15" i="1"/>
  <c r="AU16" i="1" l="1"/>
  <c r="E12" i="5" s="1"/>
  <c r="J12" i="5" s="1"/>
  <c r="AQ43" i="1"/>
  <c r="M43" i="1"/>
  <c r="AQ46" i="1"/>
  <c r="N18" i="1"/>
  <c r="N17" i="1" s="1"/>
  <c r="P41" i="1"/>
  <c r="V41" i="1" s="1"/>
  <c r="P43" i="1"/>
  <c r="Z46" i="1"/>
  <c r="AU44" i="1"/>
  <c r="V43" i="1"/>
  <c r="M38" i="1"/>
  <c r="P39" i="1"/>
  <c r="AF46" i="1"/>
  <c r="AQ14" i="1"/>
  <c r="AF15" i="1"/>
  <c r="AF14" i="1" s="1"/>
  <c r="Z14" i="1"/>
  <c r="M15" i="1"/>
  <c r="N14" i="1"/>
  <c r="AQ18" i="1"/>
  <c r="AQ17" i="1" s="1"/>
  <c r="AF18" i="1"/>
  <c r="AF17" i="1" s="1"/>
  <c r="P40" i="1" l="1"/>
  <c r="M18" i="1"/>
  <c r="M17" i="1" s="1"/>
  <c r="M46" i="1"/>
  <c r="AU43" i="1"/>
  <c r="E28" i="5"/>
  <c r="J28" i="5" s="1"/>
  <c r="P38" i="1"/>
  <c r="P46" i="1" s="1"/>
  <c r="V39" i="1"/>
  <c r="V40" i="1"/>
  <c r="AU41" i="1"/>
  <c r="P18" i="1"/>
  <c r="P17" i="1" s="1"/>
  <c r="P15" i="1"/>
  <c r="M14" i="1"/>
  <c r="AU40" i="1" l="1"/>
  <c r="E26" i="5"/>
  <c r="V38" i="1"/>
  <c r="V46" i="1" s="1"/>
  <c r="AU39" i="1"/>
  <c r="V18" i="1"/>
  <c r="V17" i="1" s="1"/>
  <c r="V15" i="1"/>
  <c r="P14" i="1"/>
  <c r="AU38" i="1" l="1"/>
  <c r="AU46" i="1" s="1"/>
  <c r="E25" i="5"/>
  <c r="AU18" i="1"/>
  <c r="V14" i="1"/>
  <c r="AU15" i="1"/>
  <c r="AF13" i="1"/>
  <c r="AF12" i="1" s="1"/>
  <c r="AF20" i="1" s="1"/>
  <c r="AE13" i="1"/>
  <c r="AE12" i="1" s="1"/>
  <c r="AE20" i="1" s="1"/>
  <c r="U13" i="1"/>
  <c r="U12" i="1" s="1"/>
  <c r="U20" i="1" s="1"/>
  <c r="AL13" i="1"/>
  <c r="AL12" i="1" s="1"/>
  <c r="AL20" i="1" s="1"/>
  <c r="AU14" i="1" l="1"/>
  <c r="E11" i="5"/>
  <c r="AU17" i="1"/>
  <c r="E13" i="5"/>
  <c r="J13" i="5" s="1"/>
  <c r="E30" i="5"/>
  <c r="AR13" i="1"/>
  <c r="AR12" i="1" s="1"/>
  <c r="AR20" i="1" s="1"/>
  <c r="AJ13" i="1"/>
  <c r="AJ12" i="1" s="1"/>
  <c r="AJ20" i="1" s="1"/>
  <c r="AN13" i="1"/>
  <c r="AN12" i="1" s="1"/>
  <c r="AN20" i="1" s="1"/>
  <c r="AS13" i="1"/>
  <c r="AS12" i="1" s="1"/>
  <c r="AS20" i="1" s="1"/>
  <c r="Y13" i="1"/>
  <c r="Y12" i="1" s="1"/>
  <c r="Y20" i="1" s="1"/>
  <c r="AK13" i="1"/>
  <c r="AK12" i="1" s="1"/>
  <c r="AK20" i="1" s="1"/>
  <c r="AO13" i="1"/>
  <c r="AO12" i="1" s="1"/>
  <c r="AO20" i="1" s="1"/>
  <c r="H13" i="1"/>
  <c r="AM13" i="1"/>
  <c r="AM12" i="1" s="1"/>
  <c r="AM20" i="1" s="1"/>
  <c r="I13" i="1"/>
  <c r="I12" i="1" s="1"/>
  <c r="I20" i="1" s="1"/>
  <c r="E13" i="1"/>
  <c r="E12" i="1" s="1"/>
  <c r="E20" i="1" s="1"/>
  <c r="K13" i="1"/>
  <c r="K12" i="1" s="1"/>
  <c r="K20" i="1" s="1"/>
  <c r="AG13" i="1" l="1"/>
  <c r="AG12" i="1" s="1"/>
  <c r="AG20" i="1" s="1"/>
  <c r="H12" i="1"/>
  <c r="H20" i="1" s="1"/>
  <c r="AH13" i="1"/>
  <c r="AH12" i="1" s="1"/>
  <c r="AH20" i="1" s="1"/>
  <c r="AI13" i="1"/>
  <c r="AI12" i="1" s="1"/>
  <c r="AI20" i="1" s="1"/>
  <c r="J13" i="1"/>
  <c r="J12" i="1" s="1"/>
  <c r="J20" i="1" s="1"/>
  <c r="AT13" i="1"/>
  <c r="AT12" i="1" s="1"/>
  <c r="AT20" i="1" s="1"/>
  <c r="AQ13" i="1" l="1"/>
  <c r="AQ12" i="1" s="1"/>
  <c r="AQ20" i="1" s="1"/>
  <c r="W13" i="1"/>
  <c r="N13" i="1"/>
  <c r="M13" i="1" l="1"/>
  <c r="N12" i="1"/>
  <c r="N20" i="1" s="1"/>
  <c r="Z13" i="1"/>
  <c r="Z12" i="1" s="1"/>
  <c r="Z20" i="1" s="1"/>
  <c r="W12" i="1"/>
  <c r="W20" i="1" s="1"/>
  <c r="P13" i="1" l="1"/>
  <c r="M12" i="1"/>
  <c r="M20" i="1" s="1"/>
  <c r="V13" i="1" l="1"/>
  <c r="P12" i="1"/>
  <c r="P20" i="1" s="1"/>
  <c r="V12" i="1" l="1"/>
  <c r="V20" i="1" s="1"/>
  <c r="AU13" i="1"/>
  <c r="AU12" i="1" l="1"/>
  <c r="AU20" i="1" s="1"/>
  <c r="E10" i="5"/>
  <c r="AE35" i="6"/>
  <c r="U35" i="6"/>
  <c r="U33" i="6" s="1"/>
  <c r="U36" i="6" s="1"/>
  <c r="AE34" i="6"/>
  <c r="U34" i="6"/>
  <c r="AP33" i="6"/>
  <c r="AP36" i="6" s="1"/>
  <c r="AD33" i="6"/>
  <c r="AD36" i="6" s="1"/>
  <c r="AC33" i="6"/>
  <c r="AC36" i="6" s="1"/>
  <c r="AB33" i="6"/>
  <c r="AB36" i="6" s="1"/>
  <c r="AA33" i="6"/>
  <c r="AA36" i="6" s="1"/>
  <c r="X33" i="6"/>
  <c r="X36" i="6" s="1"/>
  <c r="T33" i="6"/>
  <c r="T36" i="6" s="1"/>
  <c r="S33" i="6"/>
  <c r="S36" i="6" s="1"/>
  <c r="R33" i="6"/>
  <c r="R36" i="6" s="1"/>
  <c r="Q33" i="6"/>
  <c r="Q36" i="6" s="1"/>
  <c r="O33" i="6"/>
  <c r="O36" i="6" s="1"/>
  <c r="L33" i="6"/>
  <c r="L36" i="6" s="1"/>
  <c r="F33" i="6"/>
  <c r="F36" i="6" s="1"/>
  <c r="C33" i="6"/>
  <c r="C36" i="6" s="1"/>
  <c r="S15" i="6"/>
  <c r="AE14" i="6"/>
  <c r="U14" i="6"/>
  <c r="AS14" i="6"/>
  <c r="AJ13" i="6"/>
  <c r="AE13" i="6"/>
  <c r="AE12" i="6" s="1"/>
  <c r="AE15" i="6" s="1"/>
  <c r="U13" i="6"/>
  <c r="AP12" i="6"/>
  <c r="AP15" i="6" s="1"/>
  <c r="AD12" i="6"/>
  <c r="AD15" i="6" s="1"/>
  <c r="AC12" i="6"/>
  <c r="AC15" i="6" s="1"/>
  <c r="AB12" i="6"/>
  <c r="AB15" i="6" s="1"/>
  <c r="AA12" i="6"/>
  <c r="AA15" i="6" s="1"/>
  <c r="X12" i="6"/>
  <c r="X15" i="6" s="1"/>
  <c r="T12" i="6"/>
  <c r="T15" i="6" s="1"/>
  <c r="S12" i="6"/>
  <c r="R12" i="6"/>
  <c r="R15" i="6" s="1"/>
  <c r="Q12" i="6"/>
  <c r="Q15" i="6" s="1"/>
  <c r="O12" i="6"/>
  <c r="O15" i="6" s="1"/>
  <c r="L12" i="6"/>
  <c r="L15" i="6" s="1"/>
  <c r="F12" i="6"/>
  <c r="F15" i="6" s="1"/>
  <c r="C12" i="6"/>
  <c r="C15" i="6" s="1"/>
  <c r="AE33" i="6" l="1"/>
  <c r="AE36" i="6" s="1"/>
  <c r="I13" i="6"/>
  <c r="E15" i="5"/>
  <c r="U12" i="6"/>
  <c r="U15" i="6" s="1"/>
  <c r="AL34" i="6"/>
  <c r="G34" i="6"/>
  <c r="AO34" i="6"/>
  <c r="AK34" i="6"/>
  <c r="Y34" i="6"/>
  <c r="E34" i="6"/>
  <c r="AS34" i="6"/>
  <c r="AN34" i="6"/>
  <c r="H34" i="6"/>
  <c r="AM34" i="6"/>
  <c r="AJ34" i="6"/>
  <c r="AR34" i="6"/>
  <c r="I34" i="6"/>
  <c r="D35" i="6"/>
  <c r="AJ14" i="6"/>
  <c r="AJ12" i="6" s="1"/>
  <c r="AJ15" i="6" s="1"/>
  <c r="AL13" i="6"/>
  <c r="E14" i="6"/>
  <c r="AK14" i="6"/>
  <c r="G13" i="6"/>
  <c r="AM13" i="6"/>
  <c r="AS13" i="6"/>
  <c r="AS12" i="6" s="1"/>
  <c r="AS15" i="6" s="1"/>
  <c r="H14" i="6"/>
  <c r="AG14" i="6" s="1"/>
  <c r="AM14" i="6"/>
  <c r="AL14" i="6"/>
  <c r="G14" i="6"/>
  <c r="AO14" i="6"/>
  <c r="AO13" i="6"/>
  <c r="AK13" i="6"/>
  <c r="Y13" i="6"/>
  <c r="E13" i="6"/>
  <c r="AR13" i="6"/>
  <c r="AR14" i="6"/>
  <c r="AT14" i="6" s="1"/>
  <c r="D12" i="6"/>
  <c r="D15" i="6" s="1"/>
  <c r="H13" i="6"/>
  <c r="AG13" i="6" s="1"/>
  <c r="AN13" i="6"/>
  <c r="I14" i="6"/>
  <c r="I12" i="6" s="1"/>
  <c r="I15" i="6" s="1"/>
  <c r="Y14" i="6"/>
  <c r="AN14" i="6"/>
  <c r="AN12" i="6" l="1"/>
  <c r="AN15" i="6" s="1"/>
  <c r="AK12" i="6"/>
  <c r="AK15" i="6" s="1"/>
  <c r="AL12" i="6"/>
  <c r="AL15" i="6" s="1"/>
  <c r="AO12" i="6"/>
  <c r="AO15" i="6" s="1"/>
  <c r="Y12" i="6"/>
  <c r="Y15" i="6" s="1"/>
  <c r="AR35" i="6"/>
  <c r="AM35" i="6"/>
  <c r="AM33" i="6" s="1"/>
  <c r="AM36" i="6" s="1"/>
  <c r="H35" i="6"/>
  <c r="AG35" i="6" s="1"/>
  <c r="AL35" i="6"/>
  <c r="G35" i="6"/>
  <c r="G33" i="6" s="1"/>
  <c r="G36" i="6" s="1"/>
  <c r="AO35" i="6"/>
  <c r="AO33" i="6" s="1"/>
  <c r="AO36" i="6" s="1"/>
  <c r="AK35" i="6"/>
  <c r="AK33" i="6" s="1"/>
  <c r="AK36" i="6" s="1"/>
  <c r="Y35" i="6"/>
  <c r="E35" i="6"/>
  <c r="AS35" i="6"/>
  <c r="AS33" i="6" s="1"/>
  <c r="AS36" i="6" s="1"/>
  <c r="I35" i="6"/>
  <c r="I33" i="6" s="1"/>
  <c r="I36" i="6" s="1"/>
  <c r="AN35" i="6"/>
  <c r="AN33" i="6" s="1"/>
  <c r="AN36" i="6" s="1"/>
  <c r="AJ35" i="6"/>
  <c r="AJ33" i="6" s="1"/>
  <c r="AJ36" i="6" s="1"/>
  <c r="D33" i="6"/>
  <c r="D36" i="6" s="1"/>
  <c r="E33" i="6"/>
  <c r="E36" i="6" s="1"/>
  <c r="AG12" i="6"/>
  <c r="AG15" i="6" s="1"/>
  <c r="H33" i="6"/>
  <c r="H36" i="6" s="1"/>
  <c r="Y33" i="6"/>
  <c r="Y36" i="6" s="1"/>
  <c r="H12" i="6"/>
  <c r="H15" i="6" s="1"/>
  <c r="AT13" i="6"/>
  <c r="AT12" i="6" s="1"/>
  <c r="AT15" i="6" s="1"/>
  <c r="AR12" i="6"/>
  <c r="AR15" i="6" s="1"/>
  <c r="K14" i="6"/>
  <c r="J14" i="6" s="1"/>
  <c r="G12" i="6"/>
  <c r="G15" i="6" s="1"/>
  <c r="K13" i="6"/>
  <c r="J13" i="6" s="1"/>
  <c r="AT34" i="6"/>
  <c r="AG34" i="6"/>
  <c r="K34" i="6"/>
  <c r="J34" i="6" s="1"/>
  <c r="N34" i="6" s="1"/>
  <c r="E12" i="6"/>
  <c r="E15" i="6" s="1"/>
  <c r="AM12" i="6"/>
  <c r="AM15" i="6" s="1"/>
  <c r="AL33" i="6"/>
  <c r="AL36" i="6" s="1"/>
  <c r="AI14" i="6" l="1"/>
  <c r="AH13" i="6"/>
  <c r="K35" i="6"/>
  <c r="K33" i="6" s="1"/>
  <c r="K36" i="6" s="1"/>
  <c r="AH14" i="6"/>
  <c r="AQ14" i="6" s="1"/>
  <c r="K12" i="6"/>
  <c r="K15" i="6" s="1"/>
  <c r="AT35" i="6"/>
  <c r="AT33" i="6" s="1"/>
  <c r="AT36" i="6" s="1"/>
  <c r="N14" i="6"/>
  <c r="M14" i="6" s="1"/>
  <c r="P14" i="6" s="1"/>
  <c r="V14" i="6" s="1"/>
  <c r="W14" i="6"/>
  <c r="Z14" i="6" s="1"/>
  <c r="AF14" i="6" s="1"/>
  <c r="J12" i="6"/>
  <c r="J15" i="6" s="1"/>
  <c r="N13" i="6"/>
  <c r="M34" i="6"/>
  <c r="W34" i="6"/>
  <c r="AI13" i="6"/>
  <c r="AI12" i="6" s="1"/>
  <c r="AI15" i="6" s="1"/>
  <c r="AR33" i="6"/>
  <c r="AR36" i="6" s="1"/>
  <c r="AI34" i="6"/>
  <c r="AH34" i="6"/>
  <c r="AQ34" i="6" s="1"/>
  <c r="AH35" i="6"/>
  <c r="J35" i="6"/>
  <c r="AG33" i="6"/>
  <c r="AG36" i="6" s="1"/>
  <c r="W13" i="6"/>
  <c r="AU14" i="6" l="1"/>
  <c r="I11" i="5" s="1"/>
  <c r="J11" i="5" s="1"/>
  <c r="AI35" i="6"/>
  <c r="AQ35" i="6" s="1"/>
  <c r="AQ33" i="6" s="1"/>
  <c r="AQ36" i="6" s="1"/>
  <c r="N12" i="6"/>
  <c r="N15" i="6" s="1"/>
  <c r="AH12" i="6"/>
  <c r="AH15" i="6" s="1"/>
  <c r="AQ13" i="6"/>
  <c r="AQ12" i="6" s="1"/>
  <c r="AQ15" i="6" s="1"/>
  <c r="Z13" i="6"/>
  <c r="W12" i="6"/>
  <c r="W15" i="6" s="1"/>
  <c r="M13" i="6"/>
  <c r="N35" i="6"/>
  <c r="N33" i="6" s="1"/>
  <c r="N36" i="6" s="1"/>
  <c r="W35" i="6"/>
  <c r="Z35" i="6" s="1"/>
  <c r="AF35" i="6" s="1"/>
  <c r="AH33" i="6"/>
  <c r="AH36" i="6" s="1"/>
  <c r="P34" i="6"/>
  <c r="Z34" i="6"/>
  <c r="J33" i="6"/>
  <c r="J36" i="6" s="1"/>
  <c r="M35" i="6"/>
  <c r="P35" i="6" s="1"/>
  <c r="V35" i="6" s="1"/>
  <c r="AI33" i="6" l="1"/>
  <c r="AI36" i="6" s="1"/>
  <c r="AU35" i="6"/>
  <c r="I26" i="5" s="1"/>
  <c r="J26" i="5" s="1"/>
  <c r="W33" i="6"/>
  <c r="W36" i="6" s="1"/>
  <c r="Z33" i="6"/>
  <c r="Z36" i="6" s="1"/>
  <c r="AF34" i="6"/>
  <c r="AF33" i="6" s="1"/>
  <c r="AF36" i="6" s="1"/>
  <c r="M33" i="6"/>
  <c r="M36" i="6" s="1"/>
  <c r="M12" i="6"/>
  <c r="M15" i="6" s="1"/>
  <c r="P13" i="6"/>
  <c r="P33" i="6"/>
  <c r="P36" i="6" s="1"/>
  <c r="V34" i="6"/>
  <c r="Z12" i="6"/>
  <c r="Z15" i="6" s="1"/>
  <c r="AF13" i="6"/>
  <c r="AF12" i="6" s="1"/>
  <c r="AF15" i="6" s="1"/>
  <c r="AU34" i="6" l="1"/>
  <c r="V33" i="6"/>
  <c r="V36" i="6" s="1"/>
  <c r="P12" i="6"/>
  <c r="P15" i="6" s="1"/>
  <c r="V13" i="6"/>
  <c r="AU33" i="6" l="1"/>
  <c r="AU36" i="6" s="1"/>
  <c r="I25" i="5"/>
  <c r="AU13" i="6"/>
  <c r="V12" i="6"/>
  <c r="V15" i="6" s="1"/>
  <c r="I30" i="5" l="1"/>
  <c r="J25" i="5"/>
  <c r="J30" i="5" s="1"/>
  <c r="AU12" i="6"/>
  <c r="AU15" i="6" s="1"/>
  <c r="I10" i="5"/>
  <c r="I15" i="5" l="1"/>
  <c r="J10" i="5"/>
  <c r="J1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Fernando Romero Fandiño</author>
  </authors>
  <commentList>
    <comment ref="D6" authorId="0" shapeId="0" xr:uid="{F78EBA51-39B0-1947-B1E3-7009856567ED}">
      <text>
        <r>
          <rPr>
            <sz val="9"/>
            <color rgb="FF000000"/>
            <rFont val="Tahoma"/>
            <family val="2"/>
          </rPr>
          <t xml:space="preserve">Comprende las remuneraciones pagadas en efectivo o en especie a los empleados vinculados laboralmente con el Estado, como contraprestación por los servicios prestados.
</t>
        </r>
        <r>
          <rPr>
            <sz val="9"/>
            <color rgb="FF000000"/>
            <rFont val="Tahoma"/>
            <family val="2"/>
          </rPr>
          <t xml:space="preserve">
</t>
        </r>
        <r>
          <rPr>
            <sz val="9"/>
            <color rgb="FF000000"/>
            <rFont val="Tahoma"/>
            <family val="2"/>
          </rPr>
          <t xml:space="preserve">SE COMPONE DE UN SUELDO BÁSICO Y POR LOS DEMÁS PAGOS QUE TIENEN COMO FINALIDAD REMUNERAR EL TRABAJO DEL EMPLEADO. 
</t>
        </r>
      </text>
    </comment>
    <comment ref="W6" authorId="0" shapeId="0" xr:uid="{6E5A7B0C-1C9F-144D-B80A-01A0F48981ED}">
      <text>
        <r>
          <rPr>
            <sz val="9"/>
            <color indexed="81"/>
            <rFont val="Tahoma"/>
            <family val="2"/>
          </rPr>
          <t xml:space="preserve">Corresponde a los gastos del personal vinculado laboralmente con el Estado que la ley  </t>
        </r>
        <r>
          <rPr>
            <b/>
            <sz val="9"/>
            <color indexed="81"/>
            <rFont val="Tahoma"/>
            <family val="2"/>
          </rPr>
          <t>NO</t>
        </r>
        <r>
          <rPr>
            <sz val="9"/>
            <color indexed="81"/>
            <rFont val="Tahoma"/>
            <family val="2"/>
          </rPr>
          <t xml:space="preserve"> </t>
        </r>
        <r>
          <rPr>
            <b/>
            <sz val="9"/>
            <color indexed="81"/>
            <rFont val="Tahoma"/>
            <family val="2"/>
          </rPr>
          <t>RECONOCE</t>
        </r>
        <r>
          <rPr>
            <sz val="9"/>
            <color indexed="81"/>
            <rFont val="Tahoma"/>
            <family val="2"/>
          </rPr>
          <t xml:space="preserve"> como constitutivos de factor salarial. 
Incluye los beneficios que se reconocen a favor de los servidores públicos que solamente constituyen factor, para efectos de determinar el ingreso base de cotización (IBC) del Sistema General de Pensiones, y para la cotización al Sistema General de Seguridad Social en Salud.
</t>
        </r>
      </text>
    </comment>
    <comment ref="AG6" authorId="0" shapeId="0" xr:uid="{5E7CAEFE-5DB7-C745-9E9C-115AEF97FE94}">
      <text>
        <r>
          <rPr>
            <sz val="9"/>
            <color indexed="81"/>
            <rFont val="Tahoma"/>
            <family val="2"/>
          </rPr>
          <t>Corresponde a las contribuciones legales que debe hacer una entidad como empleadora, a entidades del sector privado y público.</t>
        </r>
      </text>
    </comment>
    <comment ref="AR6" authorId="0" shapeId="0" xr:uid="{14C4DF88-797B-994D-99BB-EAB745AD8309}">
      <text>
        <r>
          <rPr>
            <sz val="9"/>
            <color indexed="81"/>
            <rFont val="Tahoma"/>
            <family val="2"/>
          </rPr>
          <t>Comprende las transferencias corrientes que los órganos del PGN hacen directamente a sus empleados para cubrir necesidades derivadas de riesgos sociales. 
INCLUYE  EL RECONOCIMIENTO DE SALARIOS DURANTE</t>
        </r>
        <r>
          <rPr>
            <b/>
            <sz val="9"/>
            <color indexed="81"/>
            <rFont val="Tahoma"/>
            <family val="2"/>
          </rPr>
          <t xml:space="preserve"> PERIODOS DE AUSENCIA DEL TRABAJO DEBIDO A INCAPACIDAD MÉDICA, ACCIDENTES Y LICENCIAS DE MATERNIDAD Y PATERNIDAD </t>
        </r>
        <r>
          <rPr>
            <sz val="9"/>
            <color indexed="81"/>
            <rFont val="Tahoma"/>
            <family val="2"/>
          </rPr>
          <t xml:space="preserve">TENIENDO EN CUENTA QUE LA NATURALEZA ECONÓMICA DE ESTOS GASTOS CONSTITUYEN LA ENTREGA DE RECURSOS POR PARTE DE UNA UNIDAD DE GOBIERNO A SUS EMPLEADOS SIN RECIBIR DE ESTOS NINGUNA CONTRAPRESTACIÓN DE SERVICIOS, SINO CON EL FIN DE CUBRIR UNA NECESIDAD DERIVADA DE UN RIESGO SOCIAL.
</t>
        </r>
      </text>
    </comment>
    <comment ref="D7" authorId="0" shapeId="0" xr:uid="{FB3D933A-DB1E-6D4D-B0D2-852AC1E41EE4}">
      <text>
        <r>
          <rPr>
            <sz val="9"/>
            <color indexed="81"/>
            <rFont val="Tahoma"/>
            <family val="2"/>
          </rPr>
          <t>Corresponde a los componentes del salario que son comunes   a todo el personal vinculado laboralmente con el Estado (empleados públicos y trabajadores oficiales), de conformidad con lo señalado en el Decreto Ley 1042 de 1978</t>
        </r>
      </text>
    </comment>
    <comment ref="Q7" authorId="0" shapeId="0" xr:uid="{691B6DA7-65D7-AB40-8AE3-9D792C2C412F}">
      <text>
        <r>
          <rPr>
            <sz val="9"/>
            <color indexed="81"/>
            <rFont val="Tahoma"/>
            <family val="2"/>
          </rPr>
          <t xml:space="preserve">Corresponde a los componentes del salario de los sistemas especiales de remuneración, legalmente aprobados, y que se rigen por disposiciones particulares para determinados regímenes laborales.
SE CARACTERIZAN POR NO SER COMUNES A TODOS LOS EMPLEADOS
</t>
        </r>
      </text>
    </comment>
    <comment ref="W7" authorId="0" shapeId="0" xr:uid="{7672EABD-1928-9644-A2F6-6B2B4A5C6946}">
      <text>
        <r>
          <rPr>
            <sz val="9"/>
            <color rgb="FF000000"/>
            <rFont val="Tahoma"/>
            <family val="2"/>
          </rPr>
          <t xml:space="preserve">Comprenden  las prestaciones sociales que la ley reconoce a los servidores públicos con el fin de cubrir riesgos o necesidades del trabajador en relación o con motivo de su trabajo.
</t>
        </r>
        <r>
          <rPr>
            <sz val="9"/>
            <color rgb="FF000000"/>
            <rFont val="Tahoma"/>
            <family val="2"/>
          </rPr>
          <t xml:space="preserve">
</t>
        </r>
        <r>
          <rPr>
            <sz val="9"/>
            <color rgb="FF000000"/>
            <rFont val="Tahoma"/>
            <family val="2"/>
          </rPr>
          <t xml:space="preserve">ESTAS PRESTACIONES </t>
        </r>
        <r>
          <rPr>
            <b/>
            <sz val="9"/>
            <color rgb="FF000000"/>
            <rFont val="Tahoma"/>
            <family val="2"/>
          </rPr>
          <t xml:space="preserve">NO </t>
        </r>
        <r>
          <rPr>
            <sz val="9"/>
            <color rgb="FF000000"/>
            <rFont val="Tahoma"/>
            <family val="2"/>
          </rPr>
          <t>RETRIBUYEN DIRECTAMENTE LOS SERVICIOS PRESTADOS POR LOS TRABAJADORES</t>
        </r>
      </text>
    </comment>
    <comment ref="AA7" authorId="0" shapeId="0" xr:uid="{23998771-BA3B-DE4F-A54A-7496405C50A4}">
      <text>
        <r>
          <rPr>
            <sz val="9"/>
            <color indexed="81"/>
            <rFont val="Tahoma"/>
            <family val="2"/>
          </rPr>
          <t xml:space="preserve">Corresponde a las remuneraciones  no constitutivas de factor salarial que reconoce una unidad de gobierno a sus empleados y no se incluyen como "Prestaciones sociales según definición legal"
</t>
        </r>
      </text>
    </comment>
    <comment ref="AG7" authorId="0" shapeId="0" xr:uid="{84509D4A-C2BD-B042-9DC4-AEF8CEB6038B}">
      <text>
        <r>
          <rPr>
            <sz val="9"/>
            <color indexed="81"/>
            <rFont val="Tahoma"/>
            <family val="2"/>
          </rPr>
          <t xml:space="preserve">Es la contribución social a pagar por los empleadores a los fondos de seguridad social en pensiones del Sistema General de Pensiones de conformidad con lo que establece la  Ley 100 de 1993
</t>
        </r>
      </text>
    </comment>
    <comment ref="AH7" authorId="0" shapeId="0" xr:uid="{256CC2C8-F1A0-0F4A-A6DD-3539D5244ABE}">
      <text>
        <r>
          <rPr>
            <sz val="9"/>
            <color indexed="81"/>
            <rFont val="Tahoma"/>
            <family val="2"/>
          </rPr>
          <t>Es la contribución social a pagar por los empleadores a las Entidades Promotoras en Salud - EPS  del Sistema General de Seguridad Social en Salud, para el cubrimiento de riesgos de salud de sus empleados de conformidad con lo que establece la Ley 100 de 1993</t>
        </r>
      </text>
    </comment>
    <comment ref="AI7" authorId="0" shapeId="0" xr:uid="{27E7CBE6-C7CC-D64B-BE95-0A68D802FBD2}">
      <text>
        <r>
          <rPr>
            <sz val="9"/>
            <color indexed="81"/>
            <rFont val="Tahoma"/>
            <family val="2"/>
          </rPr>
          <t>Es la contribución que el empleador está obligado a pagar en razón de un mes de sueldo o jornal por cada año de servicio de su empleado, proporcionalmente fraccionado a favor de un fondo administrador de cesantías.</t>
        </r>
      </text>
    </comment>
    <comment ref="AK7" authorId="0" shapeId="0" xr:uid="{49D7F06E-61DC-CD4E-AD36-C1560DA66EC6}">
      <text>
        <r>
          <rPr>
            <sz val="9"/>
            <color indexed="81"/>
            <rFont val="Tahoma"/>
            <family val="2"/>
          </rPr>
          <t>Es la contribución a pagar por los empleadores a una Administradora de Riesgos Laborales - ARL para el cubrimiento de las prestaciones económicas y asistenciales derivadas de un accidente de trabajo o una enfermedad profesional.</t>
        </r>
      </text>
    </comment>
    <comment ref="AL7" authorId="0" shapeId="0" xr:uid="{D85750EE-849B-FB48-BCA9-9A8218722EEB}">
      <text>
        <r>
          <rPr>
            <sz val="9"/>
            <color indexed="81"/>
            <rFont val="Tahoma"/>
            <family val="2"/>
          </rPr>
          <t>Es la contribución parafiscal a pagar por todos los patronos y entidades públicas y privadas  al Instituto Colombiano de Bienestar Familiar (ICBF)</t>
        </r>
      </text>
    </comment>
    <comment ref="AM7" authorId="0" shapeId="0" xr:uid="{30A862A4-323D-EA41-BEDF-B67E0555D433}">
      <text>
        <r>
          <rPr>
            <sz val="9"/>
            <color indexed="81"/>
            <rFont val="Tahoma"/>
            <family val="2"/>
          </rPr>
          <t xml:space="preserve">Es la contribución parafiscal a pagar por la Nación a favor del Servicio Nacional de Aprendizaje (SENA).
</t>
        </r>
      </text>
    </comment>
    <comment ref="AN7" authorId="0" shapeId="0" xr:uid="{CEB47FD5-418D-614C-AD23-E8FE2AB46CA2}">
      <text>
        <r>
          <rPr>
            <sz val="9"/>
            <color indexed="81"/>
            <rFont val="Tahoma"/>
            <family val="2"/>
          </rPr>
          <t>Contribución parafiscal a pagar por la Nación, los departamentos, intendencias, comisarías, el Distrito Especial de Bogotá y los municipios empleadores a la Escuela  Superior de Administración Pública (ESAP).</t>
        </r>
      </text>
    </comment>
    <comment ref="AO7" authorId="0" shapeId="0" xr:uid="{87E15E45-5451-2B43-93BE-488D08B9EEB6}">
      <text>
        <r>
          <rPr>
            <sz val="9"/>
            <color indexed="81"/>
            <rFont val="Tahoma"/>
            <family val="2"/>
          </rPr>
          <t>Es la contribución parafiscal a pagar por la Nación, los departamentos, intendencias, comisarías, el Distrito Especial de Bogotá y los municipios empleadores, a favor de las escuelas industriales e institutos técnicos.</t>
        </r>
      </text>
    </comment>
    <comment ref="AP7" authorId="0" shapeId="0" xr:uid="{D4436794-925D-B64F-BA06-D4F184009F91}">
      <text>
        <r>
          <rPr>
            <sz val="9"/>
            <color indexed="81"/>
            <rFont val="Tahoma"/>
            <family val="2"/>
          </rPr>
          <t xml:space="preserve">Es el aporte a pagar por los empleados públicos y, según lo contratado,  los trabajadores oficiales de determinados niveles o condiciones salariales a la 
Caja Promotora de Vivienda Militar y de Policía.
</t>
        </r>
      </text>
    </comment>
    <comment ref="D8" authorId="0" shapeId="0" xr:uid="{F1E9A5D9-1CBE-2044-9758-863F541C2551}">
      <text>
        <r>
          <rPr>
            <sz val="9"/>
            <color indexed="81"/>
            <rFont val="Tahoma"/>
            <family val="2"/>
          </rPr>
          <t>Corresponde a la parte del salario que se mantiene fija y se paga periódicamente, de acuerdo con las funciones, responsabilidades y requisitos.</t>
        </r>
        <r>
          <rPr>
            <b/>
            <sz val="9"/>
            <color indexed="81"/>
            <rFont val="Tahoma"/>
            <family val="2"/>
          </rPr>
          <t xml:space="preserve">
</t>
        </r>
        <r>
          <rPr>
            <b/>
            <sz val="9"/>
            <color indexed="81"/>
            <rFont val="Tahoma"/>
            <family val="2"/>
          </rPr>
          <t xml:space="preserve">
</t>
        </r>
        <r>
          <rPr>
            <sz val="9"/>
            <color indexed="81"/>
            <rFont val="Tahoma"/>
            <family val="2"/>
          </rPr>
          <t xml:space="preserve">EL SUELDO BÁSICO SE PAGA SIN TENER EN CUENTA ADICIONALES DE HORAS EXTRAS, PRIMAS Y OTROS FACTORES EVENTUALES O FIJOS QUE AUMENTEN EL INGRESO DEL EMPLEADO.
</t>
        </r>
      </text>
    </comment>
    <comment ref="F8" authorId="0" shapeId="0" xr:uid="{2DEA926B-68C3-6F48-89B2-E08487B2CFEB}">
      <text>
        <r>
          <rPr>
            <sz val="9"/>
            <color rgb="FF000000"/>
            <rFont val="Tahoma"/>
            <family val="2"/>
          </rPr>
          <t xml:space="preserve">Asignación complementaria del sueldo, que se reconoce excepcional a empleados de alto nivel jerárquico de acuerdo con la importancia de la representación que ostentan. </t>
        </r>
        <r>
          <rPr>
            <b/>
            <sz val="9"/>
            <color rgb="FF000000"/>
            <rFont val="Tahoma"/>
            <family val="2"/>
          </rPr>
          <t xml:space="preserve">
</t>
        </r>
      </text>
    </comment>
    <comment ref="G8" authorId="0" shapeId="0" xr:uid="{32EDFCB8-3867-3A40-985C-D2036E83605D}">
      <text>
        <r>
          <rPr>
            <sz val="9"/>
            <color rgb="FF000000"/>
            <rFont val="Tahoma"/>
            <family val="2"/>
          </rPr>
          <t xml:space="preserve">Reconocimiento económico a servidores públicos que desempeñen cargos altamente calificados cuyas funciones demanden la aplicación de conocimientos técnicos o científicos.
</t>
        </r>
      </text>
    </comment>
    <comment ref="H8" authorId="0" shapeId="0" xr:uid="{F099C34F-10D4-8B4B-A818-C4449A56CE9D}">
      <text>
        <r>
          <rPr>
            <sz val="9"/>
            <color indexed="81"/>
            <rFont val="Tahoma"/>
            <family val="2"/>
          </rPr>
          <t xml:space="preserve">Corresponde al pago habitual y periódico de una suma de dinero, fijada por Decreto Nacional,  destinada a la provisión de alimento de los empleados públicos, y  de los trabajadores oficiales de determinados niveles salariales .
</t>
        </r>
      </text>
    </comment>
    <comment ref="I8" authorId="0" shapeId="0" xr:uid="{D5E41B0D-9E38-EC4A-A4B5-E3726E063BD5}">
      <text>
        <r>
          <rPr>
            <sz val="9"/>
            <color indexed="81"/>
            <rFont val="Tahoma"/>
            <family val="2"/>
          </rPr>
          <t xml:space="preserve">Comprende el pago que se les hace a los servidores públicos que devenguen un sueldo mensual básico de hasta dos (2) veces el salario mínimo legal vigente 
</t>
        </r>
      </text>
    </comment>
    <comment ref="J8" authorId="0" shapeId="0" xr:uid="{CB8698D7-14E6-8D44-9108-C7B39A9EA877}">
      <text>
        <r>
          <rPr>
            <sz val="9"/>
            <color indexed="81"/>
            <rFont val="Tahoma"/>
            <family val="2"/>
          </rPr>
          <t xml:space="preserve">Corresponde al pago equivalente a 15 días de remuneración que se le reconoce al servidor público por cada año laborado, o proporcionalmente si el funcionario laboró como mínimo por seis meses en la entidad.
</t>
        </r>
      </text>
    </comment>
    <comment ref="K8" authorId="0" shapeId="0" xr:uid="{5F0B0D9A-C69B-1149-B93D-5B36A8BF2CEB}">
      <text>
        <r>
          <rPr>
            <sz val="9"/>
            <color indexed="81"/>
            <rFont val="Tahoma"/>
            <family val="2"/>
          </rPr>
          <t xml:space="preserve">Reconocimiento que se hace al empleado cada vez que cumpla un año continúo de labor en una misma entidad y que se paga en un plazo de veinte días después del cumplimiento de los requisitos para recibir la bonificación.
</t>
        </r>
      </text>
    </comment>
    <comment ref="L8" authorId="0" shapeId="0" xr:uid="{80D536E1-8457-274F-AB20-9E712C94831D}">
      <text>
        <r>
          <rPr>
            <sz val="9"/>
            <color indexed="81"/>
            <rFont val="Tahoma"/>
            <family val="2"/>
          </rPr>
          <t>Corresponde a la remuneración al trabajo suplementario o realizado en horas adicionales a la jornada ordinaria establecida</t>
        </r>
      </text>
    </comment>
    <comment ref="M8" authorId="0" shapeId="0" xr:uid="{0981C732-480E-E842-8205-608D3FCF70A4}">
      <text>
        <r>
          <rPr>
            <sz val="9"/>
            <color indexed="81"/>
            <rFont val="Tahoma"/>
            <family val="2"/>
          </rPr>
          <t>Reconocimiento que otorga la ley a los empleados públicos y los trabajadores oficiales por haber servido durante todo el año civil.</t>
        </r>
      </text>
    </comment>
    <comment ref="N8" authorId="0" shapeId="0" xr:uid="{E34C6A44-4EC9-3A47-A769-531E35F25D83}">
      <text>
        <r>
          <rPr>
            <sz val="9"/>
            <color indexed="81"/>
            <rFont val="Tahoma"/>
            <family val="2"/>
          </rPr>
          <t>Reconocimiento que otorga la ley a los empleados públicos y los trabajadores oficiales, con el fin de brindarles mayores recursos económicos para gozar del periodo de vacaciones</t>
        </r>
      </text>
    </comment>
    <comment ref="W8" authorId="0" shapeId="0" xr:uid="{60344F88-0265-054A-9170-9E4DE397AEEB}">
      <text>
        <r>
          <rPr>
            <sz val="9"/>
            <color indexed="81"/>
            <rFont val="Tahoma"/>
            <family val="2"/>
          </rPr>
          <t>Reconocimiento en tiempo libre y en dinero al que tiene derecho todo empleado público o trabajador oficial por haberle servido a la administración pública durante un año.</t>
        </r>
      </text>
    </comment>
    <comment ref="X8" authorId="0" shapeId="0" xr:uid="{1AFBE2C1-5C9B-534D-BC91-42006C5410F6}">
      <text>
        <r>
          <rPr>
            <sz val="9"/>
            <color indexed="81"/>
            <rFont val="Tahoma"/>
            <family val="2"/>
          </rPr>
          <t>Corresponde a la compensación en dinero a la que tiene derecho el empleado público o trabajador oficial por vacaciones causadas, pero no disfrutadas.</t>
        </r>
      </text>
    </comment>
    <comment ref="Y8" authorId="0" shapeId="0" xr:uid="{7CAABFB5-45EE-894B-968A-DE6C6E8338B8}">
      <text>
        <r>
          <rPr>
            <sz val="9"/>
            <color indexed="81"/>
            <rFont val="Tahoma"/>
            <family val="2"/>
          </rPr>
          <t>Corresponde al pago que se les hace a los empleados públicos por cada período de vacaciones.</t>
        </r>
      </text>
    </comment>
    <comment ref="D9" authorId="0" shapeId="0" xr:uid="{0AB7AF89-E376-584B-99D3-7290CB159B61}">
      <text>
        <r>
          <rPr>
            <sz val="9"/>
            <color rgb="FF000000"/>
            <rFont val="Tahoma"/>
            <family val="2"/>
          </rPr>
          <t xml:space="preserve">El sueldo básico mensual debe tener en cuenta el número de cargos por cada grado
</t>
        </r>
        <r>
          <rPr>
            <sz val="9"/>
            <color rgb="FF000000"/>
            <rFont val="Tahoma"/>
            <family val="2"/>
          </rPr>
          <t xml:space="preserve">
</t>
        </r>
      </text>
    </comment>
    <comment ref="D27" authorId="0" shapeId="0" xr:uid="{2D54D51E-4F47-9749-9A3F-C45ADCB8772F}">
      <text>
        <r>
          <rPr>
            <sz val="9"/>
            <color rgb="FF000000"/>
            <rFont val="Tahoma"/>
            <family val="2"/>
          </rPr>
          <t xml:space="preserve">Comprende las remuneraciones pagadas en efectivo o en especie a los empleados vinculados laboralmente con el Estado, como contraprestación por los servicios prestados.
</t>
        </r>
        <r>
          <rPr>
            <sz val="9"/>
            <color rgb="FF000000"/>
            <rFont val="Tahoma"/>
            <family val="2"/>
          </rPr>
          <t xml:space="preserve">
</t>
        </r>
        <r>
          <rPr>
            <sz val="9"/>
            <color rgb="FF000000"/>
            <rFont val="Tahoma"/>
            <family val="2"/>
          </rPr>
          <t xml:space="preserve">SE COMPONE DE UN SUELDO BÁSICO Y POR LOS DEMÁS PAGOS QUE TIENEN COMO FINALIDAD REMUNERAR EL TRABAJO DEL EMPLEADO. 
</t>
        </r>
      </text>
    </comment>
    <comment ref="W27" authorId="0" shapeId="0" xr:uid="{1CACF510-4D0E-E042-BCAA-F1CF35EECB82}">
      <text>
        <r>
          <rPr>
            <sz val="9"/>
            <color indexed="81"/>
            <rFont val="Tahoma"/>
            <family val="2"/>
          </rPr>
          <t xml:space="preserve">Corresponde a los gastos del personal vinculado laboralmente con el Estado que la ley  </t>
        </r>
        <r>
          <rPr>
            <b/>
            <sz val="9"/>
            <color indexed="81"/>
            <rFont val="Tahoma"/>
            <family val="2"/>
          </rPr>
          <t>NO</t>
        </r>
        <r>
          <rPr>
            <sz val="9"/>
            <color indexed="81"/>
            <rFont val="Tahoma"/>
            <family val="2"/>
          </rPr>
          <t xml:space="preserve"> </t>
        </r>
        <r>
          <rPr>
            <b/>
            <sz val="9"/>
            <color indexed="81"/>
            <rFont val="Tahoma"/>
            <family val="2"/>
          </rPr>
          <t>RECONOCE</t>
        </r>
        <r>
          <rPr>
            <sz val="9"/>
            <color indexed="81"/>
            <rFont val="Tahoma"/>
            <family val="2"/>
          </rPr>
          <t xml:space="preserve"> como constitutivos de factor salarial. 
Incluye los beneficios que se reconocen a favor de los servidores públicos que solamente constituyen factor, para efectos de determinar el ingreso base de cotización (IBC) del Sistema General de Pensiones, y para la cotización al Sistema General de Seguridad Social en Salud.
</t>
        </r>
      </text>
    </comment>
    <comment ref="AG27" authorId="0" shapeId="0" xr:uid="{4DA22632-EF48-8F46-8DF7-22A49FB27ADC}">
      <text>
        <r>
          <rPr>
            <sz val="9"/>
            <color indexed="81"/>
            <rFont val="Tahoma"/>
            <family val="2"/>
          </rPr>
          <t>Corresponde a las contribuciones legales que debe hacer una entidad como empleadora, a entidades del sector privado y público.</t>
        </r>
      </text>
    </comment>
    <comment ref="AR27" authorId="0" shapeId="0" xr:uid="{836F8A3B-2120-D14F-B3A0-1E5F11DEDD28}">
      <text>
        <r>
          <rPr>
            <sz val="9"/>
            <color indexed="81"/>
            <rFont val="Tahoma"/>
            <family val="2"/>
          </rPr>
          <t>Comprende las transferencias corrientes que los órganos del PGN hacen directamente a sus empleados para cubrir necesidades derivadas de riesgos sociales. 
INCLUYE  EL RECONOCIMIENTO DE SALARIOS DURANTE</t>
        </r>
        <r>
          <rPr>
            <b/>
            <sz val="9"/>
            <color indexed="81"/>
            <rFont val="Tahoma"/>
            <family val="2"/>
          </rPr>
          <t xml:space="preserve"> PERIODOS DE AUSENCIA DEL TRABAJO DEBIDO A INCAPACIDAD MÉDICA, ACCIDENTES Y LICENCIAS DE MATERNIDAD Y PATERNIDAD </t>
        </r>
        <r>
          <rPr>
            <sz val="9"/>
            <color indexed="81"/>
            <rFont val="Tahoma"/>
            <family val="2"/>
          </rPr>
          <t xml:space="preserve">TENIENDO EN CUENTA QUE LA NATURALEZA ECONÓMICA DE ESTOS GASTOS CONSTITUYEN LA ENTREGA DE RECURSOS POR PARTE DE UNA UNIDAD DE GOBIERNO A SUS EMPLEADOS SIN RECIBIR DE ESTOS NINGUNA CONTRAPRESTACIÓN DE SERVICIOS, SINO CON EL FIN DE CUBRIR UNA NECESIDAD DERIVADA DE UN RIESGO SOCIAL.
</t>
        </r>
      </text>
    </comment>
    <comment ref="D28" authorId="0" shapeId="0" xr:uid="{091AB658-35BB-704D-832C-7F6219BA2BA5}">
      <text>
        <r>
          <rPr>
            <sz val="9"/>
            <color rgb="FF000000"/>
            <rFont val="Tahoma"/>
            <family val="2"/>
          </rPr>
          <t>Corresponde a los componentes del salario que son comunes   a todo el personal vinculado laboralmente con el Estado (empleados públicos y trabajadores oficiales), de conformidad con lo señalado en el Decreto Ley 1042 de 1978</t>
        </r>
      </text>
    </comment>
    <comment ref="Q28" authorId="0" shapeId="0" xr:uid="{D03E090D-E06A-FE42-9A93-32CBB509BEC5}">
      <text>
        <r>
          <rPr>
            <sz val="9"/>
            <color indexed="81"/>
            <rFont val="Tahoma"/>
            <family val="2"/>
          </rPr>
          <t xml:space="preserve">Corresponde a los componentes del salario de los sistemas especiales de remuneración, legalmente aprobados, y que se rigen por disposiciones particulares para determinados regímenes laborales.
SE CARACTERIZAN POR NO SER COMUNES A TODOS LOS EMPLEADOS
</t>
        </r>
      </text>
    </comment>
    <comment ref="W28" authorId="0" shapeId="0" xr:uid="{EB89B353-0A72-DC4A-B289-7ED29A39FFB6}">
      <text>
        <r>
          <rPr>
            <sz val="9"/>
            <color rgb="FF000000"/>
            <rFont val="Tahoma"/>
            <family val="2"/>
          </rPr>
          <t xml:space="preserve">Comprenden  las prestaciones sociales que la ley reconoce a los servidores públicos con el fin de cubrir riesgos o necesidades del trabajador en relación o con motivo de su trabajo.
</t>
        </r>
        <r>
          <rPr>
            <sz val="9"/>
            <color rgb="FF000000"/>
            <rFont val="Tahoma"/>
            <family val="2"/>
          </rPr>
          <t xml:space="preserve">
</t>
        </r>
        <r>
          <rPr>
            <sz val="9"/>
            <color rgb="FF000000"/>
            <rFont val="Tahoma"/>
            <family val="2"/>
          </rPr>
          <t xml:space="preserve">ESTAS PRESTACIONES </t>
        </r>
        <r>
          <rPr>
            <b/>
            <sz val="9"/>
            <color rgb="FF000000"/>
            <rFont val="Tahoma"/>
            <family val="2"/>
          </rPr>
          <t xml:space="preserve">NO </t>
        </r>
        <r>
          <rPr>
            <sz val="9"/>
            <color rgb="FF000000"/>
            <rFont val="Tahoma"/>
            <family val="2"/>
          </rPr>
          <t>RETRIBUYEN DIRECTAMENTE LOS SERVICIOS PRESTADOS POR LOS TRABAJADORES</t>
        </r>
      </text>
    </comment>
    <comment ref="AA28" authorId="0" shapeId="0" xr:uid="{D2B3C6D6-786E-2E49-A187-87411A5F6CBD}">
      <text>
        <r>
          <rPr>
            <sz val="9"/>
            <color indexed="81"/>
            <rFont val="Tahoma"/>
            <family val="2"/>
          </rPr>
          <t xml:space="preserve">Corresponde a las remuneraciones  no constitutivas de factor salarial que reconoce una unidad de gobierno a sus empleados y no se incluyen como "Prestaciones sociales según definición legal"
</t>
        </r>
      </text>
    </comment>
    <comment ref="AG28" authorId="0" shapeId="0" xr:uid="{11820000-4CCA-634F-8755-A51786C943C1}">
      <text>
        <r>
          <rPr>
            <sz val="9"/>
            <color indexed="81"/>
            <rFont val="Tahoma"/>
            <family val="2"/>
          </rPr>
          <t xml:space="preserve">Es la contribución social a pagar por los empleadores a los fondos de seguridad social en pensiones del Sistema General de Pensiones de conformidad con lo que establece la  Ley 100 de 1993
</t>
        </r>
      </text>
    </comment>
    <comment ref="AH28" authorId="0" shapeId="0" xr:uid="{96C983CF-71D6-6F4F-9AFA-F460B0A95AC5}">
      <text>
        <r>
          <rPr>
            <sz val="9"/>
            <color indexed="81"/>
            <rFont val="Tahoma"/>
            <family val="2"/>
          </rPr>
          <t>Es la contribución social a pagar por los empleadores a las Entidades Promotoras en Salud - EPS  del Sistema General de Seguridad Social en Salud, para el cubrimiento de riesgos de salud de sus empleados de conformidad con lo que establece la Ley 100 de 1993</t>
        </r>
      </text>
    </comment>
    <comment ref="AI28" authorId="0" shapeId="0" xr:uid="{69CEC7A6-EB1D-314D-8026-26DDF5840017}">
      <text>
        <r>
          <rPr>
            <sz val="9"/>
            <color indexed="81"/>
            <rFont val="Tahoma"/>
            <family val="2"/>
          </rPr>
          <t>Es la contribución que el empleador está obligado a pagar en razón de un mes de sueldo o jornal por cada año de servicio de su empleado, proporcionalmente fraccionado a favor de un fondo administrador de cesantías.</t>
        </r>
      </text>
    </comment>
    <comment ref="AK28" authorId="0" shapeId="0" xr:uid="{012A0924-87A0-1342-9177-20B239C2F193}">
      <text>
        <r>
          <rPr>
            <sz val="9"/>
            <color indexed="81"/>
            <rFont val="Tahoma"/>
            <family val="2"/>
          </rPr>
          <t>Es la contribución a pagar por los empleadores a una Administradora de Riesgos Laborales - ARL para el cubrimiento de las prestaciones económicas y asistenciales derivadas de un accidente de trabajo o una enfermedad profesional.</t>
        </r>
      </text>
    </comment>
    <comment ref="AL28" authorId="0" shapeId="0" xr:uid="{81B41654-A532-5E4E-984F-E29FE71AFD4C}">
      <text>
        <r>
          <rPr>
            <sz val="9"/>
            <color indexed="81"/>
            <rFont val="Tahoma"/>
            <family val="2"/>
          </rPr>
          <t>Es la contribución parafiscal a pagar por todos los patronos y entidades públicas y privadas  al Instituto Colombiano de Bienestar Familiar (ICBF)</t>
        </r>
      </text>
    </comment>
    <comment ref="AM28" authorId="0" shapeId="0" xr:uid="{A1B543E6-63C2-EE43-86F9-626942E09EF0}">
      <text>
        <r>
          <rPr>
            <sz val="9"/>
            <color indexed="81"/>
            <rFont val="Tahoma"/>
            <family val="2"/>
          </rPr>
          <t xml:space="preserve">Es la contribución parafiscal a pagar por la Nación a favor del Servicio Nacional de Aprendizaje (SENA).
</t>
        </r>
      </text>
    </comment>
    <comment ref="AN28" authorId="0" shapeId="0" xr:uid="{84B75E4C-6690-3145-9344-4EA627AD8D2B}">
      <text>
        <r>
          <rPr>
            <sz val="9"/>
            <color indexed="81"/>
            <rFont val="Tahoma"/>
            <family val="2"/>
          </rPr>
          <t>Contribución parafiscal a pagar por la Nación, los departamentos, intendencias, comisarías, el Distrito Especial de Bogotá y los municipios empleadores a la Escuela  Superior de Administración Pública (ESAP).</t>
        </r>
      </text>
    </comment>
    <comment ref="AO28" authorId="0" shapeId="0" xr:uid="{D3674A75-6092-3A47-B13A-06EC8FD85C4D}">
      <text>
        <r>
          <rPr>
            <sz val="9"/>
            <color indexed="81"/>
            <rFont val="Tahoma"/>
            <family val="2"/>
          </rPr>
          <t>Es la contribución parafiscal a pagar por la Nación, los departamentos, intendencias, comisarías, el Distrito Especial de Bogotá y los municipios empleadores, a favor de las escuelas industriales e institutos técnicos.</t>
        </r>
      </text>
    </comment>
    <comment ref="AP28" authorId="0" shapeId="0" xr:uid="{67400AAD-9933-7243-A3B0-376DFA4AF45E}">
      <text>
        <r>
          <rPr>
            <sz val="9"/>
            <color indexed="81"/>
            <rFont val="Tahoma"/>
            <family val="2"/>
          </rPr>
          <t xml:space="preserve">Es el aporte a pagar por los empleados públicos y, según lo contratado,  los trabajadores oficiales de determinados niveles o condiciones salariales a la 
Caja Promotora de Vivienda Militar y de Policía.
</t>
        </r>
      </text>
    </comment>
    <comment ref="D29" authorId="0" shapeId="0" xr:uid="{74E2C26B-B847-9B43-9453-E5C4EF4ABA84}">
      <text>
        <r>
          <rPr>
            <sz val="9"/>
            <color indexed="81"/>
            <rFont val="Tahoma"/>
            <family val="2"/>
          </rPr>
          <t>Corresponde a la parte del salario que se mantiene fija y se paga periódicamente, de acuerdo con las funciones, responsabilidades y requisitos.</t>
        </r>
        <r>
          <rPr>
            <b/>
            <sz val="9"/>
            <color indexed="81"/>
            <rFont val="Tahoma"/>
            <family val="2"/>
          </rPr>
          <t xml:space="preserve">
</t>
        </r>
        <r>
          <rPr>
            <b/>
            <sz val="9"/>
            <color indexed="81"/>
            <rFont val="Tahoma"/>
            <family val="2"/>
          </rPr>
          <t xml:space="preserve">
</t>
        </r>
        <r>
          <rPr>
            <sz val="9"/>
            <color indexed="81"/>
            <rFont val="Tahoma"/>
            <family val="2"/>
          </rPr>
          <t xml:space="preserve">EL SUELDO BÁSICO SE PAGA SIN TENER EN CUENTA ADICIONALES DE HORAS EXTRAS, PRIMAS Y OTROS FACTORES EVENTUALES O FIJOS QUE AUMENTEN EL INGRESO DEL EMPLEADO.
</t>
        </r>
      </text>
    </comment>
    <comment ref="F29" authorId="0" shapeId="0" xr:uid="{D70F9B60-B8ED-6A42-9366-5648A2D12E5E}">
      <text>
        <r>
          <rPr>
            <sz val="9"/>
            <color rgb="FF000000"/>
            <rFont val="Tahoma"/>
            <family val="2"/>
          </rPr>
          <t xml:space="preserve">Asignación complementaria del sueldo, que se reconoce excepcional a empleados de alto nivel jerárquico de acuerdo con la importancia de la representación que ostentan. </t>
        </r>
        <r>
          <rPr>
            <b/>
            <sz val="9"/>
            <color rgb="FF000000"/>
            <rFont val="Tahoma"/>
            <family val="2"/>
          </rPr>
          <t xml:space="preserve">
</t>
        </r>
      </text>
    </comment>
    <comment ref="G29" authorId="0" shapeId="0" xr:uid="{1438920C-733F-F148-AF67-E821BB05E271}">
      <text>
        <r>
          <rPr>
            <sz val="9"/>
            <color rgb="FF000000"/>
            <rFont val="Tahoma"/>
            <family val="2"/>
          </rPr>
          <t xml:space="preserve">Reconocimiento económico a servidores públicos que desempeñen cargos altamente calificados cuyas funciones demanden la aplicación de conocimientos técnicos o científicos.
</t>
        </r>
      </text>
    </comment>
    <comment ref="H29" authorId="0" shapeId="0" xr:uid="{CBEBDD11-EF02-7144-97AB-50912F26A107}">
      <text>
        <r>
          <rPr>
            <sz val="9"/>
            <color indexed="81"/>
            <rFont val="Tahoma"/>
            <family val="2"/>
          </rPr>
          <t xml:space="preserve">Corresponde al pago habitual y periódico de una suma de dinero, fijada por Decreto Nacional,  destinada a la provisión de alimento de los empleados públicos, y  de los trabajadores oficiales de determinados niveles salariales .
</t>
        </r>
      </text>
    </comment>
    <comment ref="I29" authorId="0" shapeId="0" xr:uid="{E68149BC-289B-F44D-9E42-4D1B90014E86}">
      <text>
        <r>
          <rPr>
            <sz val="9"/>
            <color rgb="FF000000"/>
            <rFont val="Tahoma"/>
            <family val="2"/>
          </rPr>
          <t xml:space="preserve">Comprende el pago que se les hace a los servidores públicos que devenguen un sueldo mensual básico de hasta dos (2) veces el salario mínimo legal vigente 
</t>
        </r>
      </text>
    </comment>
    <comment ref="J29" authorId="0" shapeId="0" xr:uid="{438117BA-0EC9-9344-998F-D31E502E3E9F}">
      <text>
        <r>
          <rPr>
            <sz val="9"/>
            <color indexed="81"/>
            <rFont val="Tahoma"/>
            <family val="2"/>
          </rPr>
          <t xml:space="preserve">Corresponde al pago equivalente a 15 días de remuneración que se le reconoce al servidor público por cada año laborado, o proporcionalmente si el funcionario laboró como mínimo por seis meses en la entidad.
</t>
        </r>
      </text>
    </comment>
    <comment ref="K29" authorId="0" shapeId="0" xr:uid="{DA9DB21F-A1D6-3948-9267-66D20F8193C3}">
      <text>
        <r>
          <rPr>
            <sz val="9"/>
            <color indexed="81"/>
            <rFont val="Tahoma"/>
            <family val="2"/>
          </rPr>
          <t xml:space="preserve">Reconocimiento que se hace al empleado cada vez que cumpla un año continúo de labor en una misma entidad y que se paga en un plazo de veinte días después del cumplimiento de los requisitos para recibir la bonificación.
</t>
        </r>
      </text>
    </comment>
    <comment ref="L29" authorId="0" shapeId="0" xr:uid="{9D45836B-12B9-E04D-BFA1-E24B3DCA852C}">
      <text>
        <r>
          <rPr>
            <sz val="9"/>
            <color indexed="81"/>
            <rFont val="Tahoma"/>
            <family val="2"/>
          </rPr>
          <t>Corresponde a la remuneración al trabajo suplementario o realizado en horas adicionales a la jornada ordinaria establecida</t>
        </r>
      </text>
    </comment>
    <comment ref="M29" authorId="0" shapeId="0" xr:uid="{15120BA1-3686-AA45-8380-59451A9B06D8}">
      <text>
        <r>
          <rPr>
            <sz val="9"/>
            <color indexed="81"/>
            <rFont val="Tahoma"/>
            <family val="2"/>
          </rPr>
          <t>Reconocimiento que otorga la ley a los empleados públicos y los trabajadores oficiales por haber servido durante todo el año civil.</t>
        </r>
      </text>
    </comment>
    <comment ref="N29" authorId="0" shapeId="0" xr:uid="{6A478263-7538-7E4F-86BB-757458862F68}">
      <text>
        <r>
          <rPr>
            <sz val="9"/>
            <color indexed="81"/>
            <rFont val="Tahoma"/>
            <family val="2"/>
          </rPr>
          <t>Reconocimiento que otorga la ley a los empleados públicos y los trabajadores oficiales, con el fin de brindarles mayores recursos económicos para gozar del periodo de vacaciones</t>
        </r>
      </text>
    </comment>
    <comment ref="W29" authorId="0" shapeId="0" xr:uid="{F4340981-3638-5942-BDC3-B595A9D76624}">
      <text>
        <r>
          <rPr>
            <sz val="9"/>
            <color indexed="81"/>
            <rFont val="Tahoma"/>
            <family val="2"/>
          </rPr>
          <t>Reconocimiento en tiempo libre y en dinero al que tiene derecho todo empleado público o trabajador oficial por haberle servido a la administración pública durante un año.</t>
        </r>
      </text>
    </comment>
    <comment ref="X29" authorId="0" shapeId="0" xr:uid="{841F1595-4EE5-804F-BBE5-44108AA09FC0}">
      <text>
        <r>
          <rPr>
            <sz val="9"/>
            <color indexed="81"/>
            <rFont val="Tahoma"/>
            <family val="2"/>
          </rPr>
          <t>Corresponde a la compensación en dinero a la que tiene derecho el empleado público o trabajador oficial por vacaciones causadas, pero no disfrutadas.</t>
        </r>
      </text>
    </comment>
    <comment ref="Y29" authorId="0" shapeId="0" xr:uid="{40BAF363-92ED-494E-B8D2-DC0DDF60D9B2}">
      <text>
        <r>
          <rPr>
            <sz val="9"/>
            <color indexed="81"/>
            <rFont val="Tahoma"/>
            <family val="2"/>
          </rPr>
          <t>Corresponde al pago que se les hace a los empleados públicos por cada período de vacaciones.</t>
        </r>
      </text>
    </comment>
    <comment ref="D30" authorId="0" shapeId="0" xr:uid="{784699EF-D701-FC4D-AC3C-A6EA19DC55F6}">
      <text>
        <r>
          <rPr>
            <sz val="9"/>
            <color rgb="FF000000"/>
            <rFont val="Tahoma"/>
            <family val="2"/>
          </rPr>
          <t xml:space="preserve">El sueldo básico mensual debe tener en cuenta el número de cargos por cada grado
</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Fernando Romero Fandiño</author>
  </authors>
  <commentList>
    <comment ref="D6" authorId="0" shapeId="0" xr:uid="{E73E39E1-24F3-364D-A56A-3FFC27A65734}">
      <text>
        <r>
          <rPr>
            <sz val="9"/>
            <color rgb="FF000000"/>
            <rFont val="Tahoma"/>
            <family val="2"/>
          </rPr>
          <t xml:space="preserve">Comprende las remuneraciones pagadas en efectivo o en especie a los empleados vinculados laboralmente con el Estado, como contraprestación por los servicios prestados.
</t>
        </r>
        <r>
          <rPr>
            <sz val="9"/>
            <color rgb="FF000000"/>
            <rFont val="Tahoma"/>
            <family val="2"/>
          </rPr>
          <t xml:space="preserve">
</t>
        </r>
        <r>
          <rPr>
            <sz val="9"/>
            <color rgb="FF000000"/>
            <rFont val="Tahoma"/>
            <family val="2"/>
          </rPr>
          <t xml:space="preserve">SE COMPONE DE UN SUELDO BÁSICO Y POR LOS DEMÁS PAGOS QUE TIENEN COMO FINALIDAD REMUNERAR EL TRABAJO DEL EMPLEADO. 
</t>
        </r>
      </text>
    </comment>
    <comment ref="W6" authorId="0" shapeId="0" xr:uid="{59B17A67-05CB-904F-AC78-D13E06C3E970}">
      <text>
        <r>
          <rPr>
            <sz val="9"/>
            <color indexed="81"/>
            <rFont val="Tahoma"/>
            <family val="2"/>
          </rPr>
          <t xml:space="preserve">Corresponde a los gastos del personal vinculado laboralmente con el Estado que la ley  </t>
        </r>
        <r>
          <rPr>
            <b/>
            <sz val="9"/>
            <color indexed="81"/>
            <rFont val="Tahoma"/>
            <family val="2"/>
          </rPr>
          <t>NO</t>
        </r>
        <r>
          <rPr>
            <sz val="9"/>
            <color indexed="81"/>
            <rFont val="Tahoma"/>
            <family val="2"/>
          </rPr>
          <t xml:space="preserve"> </t>
        </r>
        <r>
          <rPr>
            <b/>
            <sz val="9"/>
            <color indexed="81"/>
            <rFont val="Tahoma"/>
            <family val="2"/>
          </rPr>
          <t>RECONOCE</t>
        </r>
        <r>
          <rPr>
            <sz val="9"/>
            <color indexed="81"/>
            <rFont val="Tahoma"/>
            <family val="2"/>
          </rPr>
          <t xml:space="preserve"> como constitutivos de factor salarial. 
Incluye los beneficios que se reconocen a favor de los servidores públicos que solamente constituyen factor, para efectos de determinar el ingreso base de cotización (IBC) del Sistema General de Pensiones, y para la cotización al Sistema General de Seguridad Social en Salud.
</t>
        </r>
      </text>
    </comment>
    <comment ref="AG6" authorId="0" shapeId="0" xr:uid="{A9805B8D-65ED-A74F-9BB4-795E2D1554DD}">
      <text>
        <r>
          <rPr>
            <sz val="9"/>
            <color rgb="FF000000"/>
            <rFont val="Tahoma"/>
            <family val="2"/>
          </rPr>
          <t>Corresponde a las contribuciones legales que debe hacer una entidad como empleadora, a entidades del sector privado y público.</t>
        </r>
      </text>
    </comment>
    <comment ref="AR6" authorId="0" shapeId="0" xr:uid="{69947055-B760-C144-8791-D88AE3E95E91}">
      <text>
        <r>
          <rPr>
            <sz val="9"/>
            <color indexed="81"/>
            <rFont val="Tahoma"/>
            <family val="2"/>
          </rPr>
          <t>Comprende las transferencias corrientes que los órganos del PGN hacen directamente a sus empleados para cubrir necesidades derivadas de riesgos sociales. 
INCLUYE  EL RECONOCIMIENTO DE SALARIOS DURANTE</t>
        </r>
        <r>
          <rPr>
            <b/>
            <sz val="9"/>
            <color indexed="81"/>
            <rFont val="Tahoma"/>
            <family val="2"/>
          </rPr>
          <t xml:space="preserve"> PERIODOS DE AUSENCIA DEL TRABAJO DEBIDO A INCAPACIDAD MÉDICA, ACCIDENTES Y LICENCIAS DE MATERNIDAD Y PATERNIDAD </t>
        </r>
        <r>
          <rPr>
            <sz val="9"/>
            <color indexed="81"/>
            <rFont val="Tahoma"/>
            <family val="2"/>
          </rPr>
          <t xml:space="preserve">TENIENDO EN CUENTA QUE LA NATURALEZA ECONÓMICA DE ESTOS GASTOS CONSTITUYEN LA ENTREGA DE RECURSOS POR PARTE DE UNA UNIDAD DE GOBIERNO A SUS EMPLEADOS SIN RECIBIR DE ESTOS NINGUNA CONTRAPRESTACIÓN DE SERVICIOS, SINO CON EL FIN DE CUBRIR UNA NECESIDAD DERIVADA DE UN RIESGO SOCIAL.
</t>
        </r>
      </text>
    </comment>
    <comment ref="D7" authorId="0" shapeId="0" xr:uid="{CC268E12-F8D0-494C-83C0-B326D1F553DB}">
      <text>
        <r>
          <rPr>
            <sz val="9"/>
            <color indexed="81"/>
            <rFont val="Tahoma"/>
            <family val="2"/>
          </rPr>
          <t>Corresponde a los componentes del salario que son comunes   a todo el personal vinculado laboralmente con el Estado (empleados públicos y trabajadores oficiales), de conformidad con lo señalado en el Decreto Ley 1042 de 1978</t>
        </r>
      </text>
    </comment>
    <comment ref="Q7" authorId="0" shapeId="0" xr:uid="{C5C881FA-6190-A04E-8D5A-35E4678E4137}">
      <text>
        <r>
          <rPr>
            <sz val="9"/>
            <color indexed="81"/>
            <rFont val="Tahoma"/>
            <family val="2"/>
          </rPr>
          <t xml:space="preserve">Corresponde a los componentes del salario de los sistemas especiales de remuneración, legalmente aprobados, y que se rigen por disposiciones particulares para determinados regímenes laborales.
SE CARACTERIZAN POR NO SER COMUNES A TODOS LOS EMPLEADOS
</t>
        </r>
      </text>
    </comment>
    <comment ref="W7" authorId="0" shapeId="0" xr:uid="{32B41D9F-29E6-AA47-8509-F822A9B752A9}">
      <text>
        <r>
          <rPr>
            <sz val="9"/>
            <color rgb="FF000000"/>
            <rFont val="Tahoma"/>
            <family val="2"/>
          </rPr>
          <t xml:space="preserve">Comprenden  las prestaciones sociales que la ley reconoce a los servidores públicos con el fin de cubrir riesgos o necesidades del trabajador en relación o con motivo de su trabajo.
</t>
        </r>
        <r>
          <rPr>
            <sz val="9"/>
            <color rgb="FF000000"/>
            <rFont val="Tahoma"/>
            <family val="2"/>
          </rPr>
          <t xml:space="preserve">
</t>
        </r>
        <r>
          <rPr>
            <sz val="9"/>
            <color rgb="FF000000"/>
            <rFont val="Tahoma"/>
            <family val="2"/>
          </rPr>
          <t xml:space="preserve">ESTAS PRESTACIONES </t>
        </r>
        <r>
          <rPr>
            <b/>
            <sz val="9"/>
            <color rgb="FF000000"/>
            <rFont val="Tahoma"/>
            <family val="2"/>
          </rPr>
          <t xml:space="preserve">NO </t>
        </r>
        <r>
          <rPr>
            <sz val="9"/>
            <color rgb="FF000000"/>
            <rFont val="Tahoma"/>
            <family val="2"/>
          </rPr>
          <t>RETRIBUYEN DIRECTAMENTE LOS SERVICIOS PRESTADOS POR LOS TRABAJADORES</t>
        </r>
      </text>
    </comment>
    <comment ref="AA7" authorId="0" shapeId="0" xr:uid="{2C0BDD70-062A-7F40-8B64-9BDF455DE244}">
      <text>
        <r>
          <rPr>
            <sz val="9"/>
            <color indexed="81"/>
            <rFont val="Tahoma"/>
            <family val="2"/>
          </rPr>
          <t xml:space="preserve">Corresponde a las remuneraciones  no constitutivas de factor salarial que reconoce una unidad de gobierno a sus empleados y no se incluyen como "Prestaciones sociales según definición legal"
</t>
        </r>
      </text>
    </comment>
    <comment ref="AG7" authorId="0" shapeId="0" xr:uid="{672F1280-8DEE-804C-92D4-54001F95A28F}">
      <text>
        <r>
          <rPr>
            <sz val="9"/>
            <color indexed="81"/>
            <rFont val="Tahoma"/>
            <family val="2"/>
          </rPr>
          <t xml:space="preserve">Es la contribución social a pagar por los empleadores a los fondos de seguridad social en pensiones del Sistema General de Pensiones de conformidad con lo que establece la  Ley 100 de 1993
</t>
        </r>
      </text>
    </comment>
    <comment ref="AH7" authorId="0" shapeId="0" xr:uid="{93145066-8F7E-B847-A787-181CC227D11C}">
      <text>
        <r>
          <rPr>
            <sz val="9"/>
            <color indexed="81"/>
            <rFont val="Tahoma"/>
            <family val="2"/>
          </rPr>
          <t>Es la contribución social a pagar por los empleadores a las Entidades Promotoras en Salud - EPS  del Sistema General de Seguridad Social en Salud, para el cubrimiento de riesgos de salud de sus empleados de conformidad con lo que establece la Ley 100 de 1993</t>
        </r>
      </text>
    </comment>
    <comment ref="AI7" authorId="0" shapeId="0" xr:uid="{7E43691C-313D-3D45-89AB-D2ABE4B7FAE7}">
      <text>
        <r>
          <rPr>
            <sz val="9"/>
            <color indexed="81"/>
            <rFont val="Tahoma"/>
            <family val="2"/>
          </rPr>
          <t>Es la contribución que el empleador está obligado a pagar en razón de un mes de sueldo o jornal por cada año de servicio de su empleado, proporcionalmente fraccionado a favor de un fondo administrador de cesantías.</t>
        </r>
      </text>
    </comment>
    <comment ref="AK7" authorId="0" shapeId="0" xr:uid="{26162DE7-E481-364B-AFBF-0513AD651C10}">
      <text>
        <r>
          <rPr>
            <sz val="9"/>
            <color indexed="81"/>
            <rFont val="Tahoma"/>
            <family val="2"/>
          </rPr>
          <t>Es la contribución a pagar por los empleadores a una Administradora de Riesgos Laborales - ARL para el cubrimiento de las prestaciones económicas y asistenciales derivadas de un accidente de trabajo o una enfermedad profesional.</t>
        </r>
      </text>
    </comment>
    <comment ref="AL7" authorId="0" shapeId="0" xr:uid="{2A8509B2-FDC6-8145-A7ED-0080697EE219}">
      <text>
        <r>
          <rPr>
            <sz val="9"/>
            <color indexed="81"/>
            <rFont val="Tahoma"/>
            <family val="2"/>
          </rPr>
          <t>Es la contribución parafiscal a pagar por todos los patronos y entidades públicas y privadas  al Instituto Colombiano de Bienestar Familiar (ICBF)</t>
        </r>
      </text>
    </comment>
    <comment ref="AM7" authorId="0" shapeId="0" xr:uid="{7DC0B69B-6847-EE44-8A5E-A2C9DCDB2B4E}">
      <text>
        <r>
          <rPr>
            <sz val="9"/>
            <color indexed="81"/>
            <rFont val="Tahoma"/>
            <family val="2"/>
          </rPr>
          <t xml:space="preserve">Es la contribución parafiscal a pagar por la Nación a favor del Servicio Nacional de Aprendizaje (SENA).
</t>
        </r>
      </text>
    </comment>
    <comment ref="AN7" authorId="0" shapeId="0" xr:uid="{61F7775D-09DA-2D44-ABEE-DCA33E2528E1}">
      <text>
        <r>
          <rPr>
            <sz val="9"/>
            <color indexed="81"/>
            <rFont val="Tahoma"/>
            <family val="2"/>
          </rPr>
          <t>Contribución parafiscal a pagar por la Nación, los departamentos, intendencias, comisarías, el Distrito Especial de Bogotá y los municipios empleadores a la Escuela  Superior de Administración Pública (ESAP).</t>
        </r>
      </text>
    </comment>
    <comment ref="AO7" authorId="0" shapeId="0" xr:uid="{44CFC8A6-EE60-DA4D-B4A6-A0F9E9339A8E}">
      <text>
        <r>
          <rPr>
            <sz val="9"/>
            <color indexed="81"/>
            <rFont val="Tahoma"/>
            <family val="2"/>
          </rPr>
          <t>Es la contribución parafiscal a pagar por la Nación, los departamentos, intendencias, comisarías, el Distrito Especial de Bogotá y los municipios empleadores, a favor de las escuelas industriales e institutos técnicos.</t>
        </r>
      </text>
    </comment>
    <comment ref="AP7" authorId="0" shapeId="0" xr:uid="{90461623-9F70-5A4A-A669-E026008B992F}">
      <text>
        <r>
          <rPr>
            <sz val="9"/>
            <color indexed="81"/>
            <rFont val="Tahoma"/>
            <family val="2"/>
          </rPr>
          <t xml:space="preserve">Es el aporte a pagar por los empleados públicos y, según lo contratado,  los trabajadores oficiales de determinados niveles o condiciones salariales a la 
Caja Promotora de Vivienda Militar y de Policía.
</t>
        </r>
      </text>
    </comment>
    <comment ref="D8" authorId="0" shapeId="0" xr:uid="{118581CA-A3AC-FE42-AE4F-CE8696AEB7DD}">
      <text>
        <r>
          <rPr>
            <sz val="9"/>
            <color indexed="81"/>
            <rFont val="Tahoma"/>
            <family val="2"/>
          </rPr>
          <t>Corresponde a la parte del salario que se mantiene fija y se paga periódicamente, de acuerdo con las funciones, responsabilidades y requisitos.</t>
        </r>
        <r>
          <rPr>
            <b/>
            <sz val="9"/>
            <color indexed="81"/>
            <rFont val="Tahoma"/>
            <family val="2"/>
          </rPr>
          <t xml:space="preserve">
</t>
        </r>
        <r>
          <rPr>
            <b/>
            <sz val="9"/>
            <color indexed="81"/>
            <rFont val="Tahoma"/>
            <family val="2"/>
          </rPr>
          <t xml:space="preserve">
</t>
        </r>
        <r>
          <rPr>
            <sz val="9"/>
            <color indexed="81"/>
            <rFont val="Tahoma"/>
            <family val="2"/>
          </rPr>
          <t xml:space="preserve">EL SUELDO BÁSICO SE PAGA SIN TENER EN CUENTA ADICIONALES DE HORAS EXTRAS, PRIMAS Y OTROS FACTORES EVENTUALES O FIJOS QUE AUMENTEN EL INGRESO DEL EMPLEADO.
</t>
        </r>
      </text>
    </comment>
    <comment ref="F8" authorId="0" shapeId="0" xr:uid="{0A5D51A8-809C-1243-951A-68E88550F0D2}">
      <text>
        <r>
          <rPr>
            <sz val="9"/>
            <color rgb="FF000000"/>
            <rFont val="Tahoma"/>
            <family val="2"/>
          </rPr>
          <t xml:space="preserve">Asignación complementaria del sueldo, que se reconoce excepcional a empleados de alto nivel jerárquico de acuerdo con la importancia de la representación que ostentan. </t>
        </r>
        <r>
          <rPr>
            <b/>
            <sz val="9"/>
            <color rgb="FF000000"/>
            <rFont val="Tahoma"/>
            <family val="2"/>
          </rPr>
          <t xml:space="preserve">
</t>
        </r>
      </text>
    </comment>
    <comment ref="G8" authorId="0" shapeId="0" xr:uid="{B900C603-A339-8C41-839C-CCAB24BA7233}">
      <text>
        <r>
          <rPr>
            <sz val="9"/>
            <color rgb="FF000000"/>
            <rFont val="Tahoma"/>
            <family val="2"/>
          </rPr>
          <t xml:space="preserve">Reconocimiento económico a servidores públicos que desempeñen cargos altamente calificados cuyas funciones demanden la aplicación de conocimientos técnicos o científicos.
</t>
        </r>
      </text>
    </comment>
    <comment ref="H8" authorId="0" shapeId="0" xr:uid="{83687C15-F62A-B74C-BC55-342B0AE86738}">
      <text>
        <r>
          <rPr>
            <sz val="9"/>
            <color indexed="81"/>
            <rFont val="Tahoma"/>
            <family val="2"/>
          </rPr>
          <t xml:space="preserve">Corresponde al pago habitual y periódico de una suma de dinero, fijada por Decreto Nacional,  destinada a la provisión de alimento de los empleados públicos, y  de los trabajadores oficiales de determinados niveles salariales .
</t>
        </r>
      </text>
    </comment>
    <comment ref="I8" authorId="0" shapeId="0" xr:uid="{E0C7F2E7-4B76-DC42-90F1-8957325F0D6F}">
      <text>
        <r>
          <rPr>
            <sz val="9"/>
            <color indexed="81"/>
            <rFont val="Tahoma"/>
            <family val="2"/>
          </rPr>
          <t xml:space="preserve">Comprende el pago que se les hace a los servidores públicos que devenguen un sueldo mensual básico de hasta dos (2) veces el salario mínimo legal vigente 
</t>
        </r>
      </text>
    </comment>
    <comment ref="J8" authorId="0" shapeId="0" xr:uid="{9990D899-0571-994A-ACD9-6AB1C3684F38}">
      <text>
        <r>
          <rPr>
            <sz val="9"/>
            <color indexed="81"/>
            <rFont val="Tahoma"/>
            <family val="2"/>
          </rPr>
          <t xml:space="preserve">Corresponde al pago equivalente a 15 días de remuneración que se le reconoce al servidor público por cada año laborado, o proporcionalmente si el funcionario laboró como mínimo por seis meses en la entidad.
</t>
        </r>
      </text>
    </comment>
    <comment ref="K8" authorId="0" shapeId="0" xr:uid="{A586E53F-425D-774E-AAE6-B109450E79D4}">
      <text>
        <r>
          <rPr>
            <sz val="9"/>
            <color indexed="81"/>
            <rFont val="Tahoma"/>
            <family val="2"/>
          </rPr>
          <t xml:space="preserve">Reconocimiento que se hace al empleado cada vez que cumpla un año continúo de labor en una misma entidad y que se paga en un plazo de veinte días después del cumplimiento de los requisitos para recibir la bonificación.
</t>
        </r>
      </text>
    </comment>
    <comment ref="L8" authorId="0" shapeId="0" xr:uid="{7B489428-A869-584C-8780-212B0CD6A593}">
      <text>
        <r>
          <rPr>
            <sz val="9"/>
            <color indexed="81"/>
            <rFont val="Tahoma"/>
            <family val="2"/>
          </rPr>
          <t>Corresponde a la remuneración al trabajo suplementario o realizado en horas adicionales a la jornada ordinaria establecida</t>
        </r>
      </text>
    </comment>
    <comment ref="M8" authorId="0" shapeId="0" xr:uid="{338C75CA-27B6-F14A-A46B-4075AE817275}">
      <text>
        <r>
          <rPr>
            <sz val="9"/>
            <color indexed="81"/>
            <rFont val="Tahoma"/>
            <family val="2"/>
          </rPr>
          <t>Reconocimiento que otorga la ley a los empleados públicos y los trabajadores oficiales por haber servido durante todo el año civil.</t>
        </r>
      </text>
    </comment>
    <comment ref="N8" authorId="0" shapeId="0" xr:uid="{B2028B02-F5B7-6C41-BBF2-A6B650C75D1D}">
      <text>
        <r>
          <rPr>
            <sz val="9"/>
            <color indexed="81"/>
            <rFont val="Tahoma"/>
            <family val="2"/>
          </rPr>
          <t>Reconocimiento que otorga la ley a los empleados públicos y los trabajadores oficiales, con el fin de brindarles mayores recursos económicos para gozar del periodo de vacaciones</t>
        </r>
      </text>
    </comment>
    <comment ref="W8" authorId="0" shapeId="0" xr:uid="{4BDD91F7-E60C-ED44-BBFD-F29C4DF443C3}">
      <text>
        <r>
          <rPr>
            <sz val="9"/>
            <color indexed="81"/>
            <rFont val="Tahoma"/>
            <family val="2"/>
          </rPr>
          <t>Reconocimiento en tiempo libre y en dinero al que tiene derecho todo empleado público o trabajador oficial por haberle servido a la administración pública durante un año.</t>
        </r>
      </text>
    </comment>
    <comment ref="X8" authorId="0" shapeId="0" xr:uid="{264E2A76-A900-604C-B773-27DC2E797D5C}">
      <text>
        <r>
          <rPr>
            <sz val="9"/>
            <color indexed="81"/>
            <rFont val="Tahoma"/>
            <family val="2"/>
          </rPr>
          <t>Corresponde a la compensación en dinero a la que tiene derecho el empleado público o trabajador oficial por vacaciones causadas, pero no disfrutadas.</t>
        </r>
      </text>
    </comment>
    <comment ref="Y8" authorId="0" shapeId="0" xr:uid="{051D3D4F-FF4A-7D41-8493-675C73214DE3}">
      <text>
        <r>
          <rPr>
            <sz val="9"/>
            <color indexed="81"/>
            <rFont val="Tahoma"/>
            <family val="2"/>
          </rPr>
          <t>Corresponde al pago que se les hace a los empleados públicos por cada período de vacaciones.</t>
        </r>
      </text>
    </comment>
    <comment ref="D9" authorId="0" shapeId="0" xr:uid="{EAE3877A-2CE5-4E4A-90D0-2D3E0213232A}">
      <text>
        <r>
          <rPr>
            <sz val="9"/>
            <color rgb="FF000000"/>
            <rFont val="Tahoma"/>
            <family val="2"/>
          </rPr>
          <t xml:space="preserve">El sueldo básico mensual debe tener en cuenta el número de cargos por cada grado
</t>
        </r>
        <r>
          <rPr>
            <sz val="9"/>
            <color rgb="FF000000"/>
            <rFont val="Tahoma"/>
            <family val="2"/>
          </rPr>
          <t xml:space="preserve">
</t>
        </r>
      </text>
    </comment>
    <comment ref="D32" authorId="0" shapeId="0" xr:uid="{BEC6104B-21E8-6C4B-826F-A34C0445BA86}">
      <text>
        <r>
          <rPr>
            <sz val="9"/>
            <color rgb="FF000000"/>
            <rFont val="Tahoma"/>
            <family val="2"/>
          </rPr>
          <t xml:space="preserve">Comprende las remuneraciones pagadas en efectivo o en especie a los empleados vinculados laboralmente con el Estado, como contraprestación por los servicios prestados.
</t>
        </r>
        <r>
          <rPr>
            <sz val="9"/>
            <color rgb="FF000000"/>
            <rFont val="Tahoma"/>
            <family val="2"/>
          </rPr>
          <t xml:space="preserve">
</t>
        </r>
        <r>
          <rPr>
            <sz val="9"/>
            <color rgb="FF000000"/>
            <rFont val="Tahoma"/>
            <family val="2"/>
          </rPr>
          <t xml:space="preserve">SE COMPONE DE UN SUELDO BÁSICO Y POR LOS DEMÁS PAGOS QUE TIENEN COMO FINALIDAD REMUNERAR EL TRABAJO DEL EMPLEADO. 
</t>
        </r>
      </text>
    </comment>
    <comment ref="W32" authorId="0" shapeId="0" xr:uid="{F040DF75-AD5C-7A40-9FFD-1C426D8BDC72}">
      <text>
        <r>
          <rPr>
            <sz val="9"/>
            <color indexed="81"/>
            <rFont val="Tahoma"/>
            <family val="2"/>
          </rPr>
          <t xml:space="preserve">Corresponde a los gastos del personal vinculado laboralmente con el Estado que la ley  </t>
        </r>
        <r>
          <rPr>
            <b/>
            <sz val="9"/>
            <color indexed="81"/>
            <rFont val="Tahoma"/>
            <family val="2"/>
          </rPr>
          <t>NO</t>
        </r>
        <r>
          <rPr>
            <sz val="9"/>
            <color indexed="81"/>
            <rFont val="Tahoma"/>
            <family val="2"/>
          </rPr>
          <t xml:space="preserve"> </t>
        </r>
        <r>
          <rPr>
            <b/>
            <sz val="9"/>
            <color indexed="81"/>
            <rFont val="Tahoma"/>
            <family val="2"/>
          </rPr>
          <t>RECONOCE</t>
        </r>
        <r>
          <rPr>
            <sz val="9"/>
            <color indexed="81"/>
            <rFont val="Tahoma"/>
            <family val="2"/>
          </rPr>
          <t xml:space="preserve"> como constitutivos de factor salarial. 
Incluye los beneficios que se reconocen a favor de los servidores públicos que solamente constituyen factor, para efectos de determinar el ingreso base de cotización (IBC) del Sistema General de Pensiones, y para la cotización al Sistema General de Seguridad Social en Salud.
</t>
        </r>
      </text>
    </comment>
    <comment ref="AG32" authorId="0" shapeId="0" xr:uid="{BB19DF0A-A007-AC49-8B33-E0CC469C7993}">
      <text>
        <r>
          <rPr>
            <sz val="9"/>
            <color rgb="FF000000"/>
            <rFont val="Tahoma"/>
            <family val="2"/>
          </rPr>
          <t>Corresponde a las contribuciones legales que debe hacer una entidad como empleadora, a entidades del sector privado y público.</t>
        </r>
      </text>
    </comment>
    <comment ref="AR32" authorId="0" shapeId="0" xr:uid="{23E21D54-68E8-D146-8EBD-1C7315094B96}">
      <text>
        <r>
          <rPr>
            <sz val="9"/>
            <color indexed="81"/>
            <rFont val="Tahoma"/>
            <family val="2"/>
          </rPr>
          <t>Comprende las transferencias corrientes que los órganos del PGN hacen directamente a sus empleados para cubrir necesidades derivadas de riesgos sociales. 
INCLUYE  EL RECONOCIMIENTO DE SALARIOS DURANTE</t>
        </r>
        <r>
          <rPr>
            <b/>
            <sz val="9"/>
            <color indexed="81"/>
            <rFont val="Tahoma"/>
            <family val="2"/>
          </rPr>
          <t xml:space="preserve"> PERIODOS DE AUSENCIA DEL TRABAJO DEBIDO A INCAPACIDAD MÉDICA, ACCIDENTES Y LICENCIAS DE MATERNIDAD Y PATERNIDAD </t>
        </r>
        <r>
          <rPr>
            <sz val="9"/>
            <color indexed="81"/>
            <rFont val="Tahoma"/>
            <family val="2"/>
          </rPr>
          <t xml:space="preserve">TENIENDO EN CUENTA QUE LA NATURALEZA ECONÓMICA DE ESTOS GASTOS CONSTITUYEN LA ENTREGA DE RECURSOS POR PARTE DE UNA UNIDAD DE GOBIERNO A SUS EMPLEADOS SIN RECIBIR DE ESTOS NINGUNA CONTRAPRESTACIÓN DE SERVICIOS, SINO CON EL FIN DE CUBRIR UNA NECESIDAD DERIVADA DE UN RIESGO SOCIAL.
</t>
        </r>
      </text>
    </comment>
    <comment ref="D33" authorId="0" shapeId="0" xr:uid="{F9A5F973-CD11-DB43-AB67-F51481B81761}">
      <text>
        <r>
          <rPr>
            <sz val="9"/>
            <color rgb="FF000000"/>
            <rFont val="Tahoma"/>
            <family val="2"/>
          </rPr>
          <t>Corresponde a los componentes del salario que son comunes   a todo el personal vinculado laboralmente con el Estado (empleados públicos y trabajadores oficiales), de conformidad con lo señalado en el Decreto Ley 1042 de 1978</t>
        </r>
      </text>
    </comment>
    <comment ref="Q33" authorId="0" shapeId="0" xr:uid="{3DC00F73-54F8-8F4E-8411-B37FCEBE46A4}">
      <text>
        <r>
          <rPr>
            <sz val="9"/>
            <color indexed="81"/>
            <rFont val="Tahoma"/>
            <family val="2"/>
          </rPr>
          <t xml:space="preserve">Corresponde a los componentes del salario de los sistemas especiales de remuneración, legalmente aprobados, y que se rigen por disposiciones particulares para determinados regímenes laborales.
SE CARACTERIZAN POR NO SER COMUNES A TODOS LOS EMPLEADOS
</t>
        </r>
      </text>
    </comment>
    <comment ref="W33" authorId="0" shapeId="0" xr:uid="{EFDFB17F-3438-AA42-BA16-A7A4359D0F40}">
      <text>
        <r>
          <rPr>
            <sz val="9"/>
            <color rgb="FF000000"/>
            <rFont val="Tahoma"/>
            <family val="2"/>
          </rPr>
          <t xml:space="preserve">Comprenden  las prestaciones sociales que la ley reconoce a los servidores públicos con el fin de cubrir riesgos o necesidades del trabajador en relación o con motivo de su trabajo.
</t>
        </r>
        <r>
          <rPr>
            <sz val="9"/>
            <color rgb="FF000000"/>
            <rFont val="Tahoma"/>
            <family val="2"/>
          </rPr>
          <t xml:space="preserve">
</t>
        </r>
        <r>
          <rPr>
            <sz val="9"/>
            <color rgb="FF000000"/>
            <rFont val="Tahoma"/>
            <family val="2"/>
          </rPr>
          <t xml:space="preserve">ESTAS PRESTACIONES </t>
        </r>
        <r>
          <rPr>
            <b/>
            <sz val="9"/>
            <color rgb="FF000000"/>
            <rFont val="Tahoma"/>
            <family val="2"/>
          </rPr>
          <t xml:space="preserve">NO </t>
        </r>
        <r>
          <rPr>
            <sz val="9"/>
            <color rgb="FF000000"/>
            <rFont val="Tahoma"/>
            <family val="2"/>
          </rPr>
          <t>RETRIBUYEN DIRECTAMENTE LOS SERVICIOS PRESTADOS POR LOS TRABAJADORES</t>
        </r>
      </text>
    </comment>
    <comment ref="AA33" authorId="0" shapeId="0" xr:uid="{59DD7AB2-6FAD-6F4C-8075-6B9DD0E1E5B8}">
      <text>
        <r>
          <rPr>
            <sz val="9"/>
            <color indexed="81"/>
            <rFont val="Tahoma"/>
            <family val="2"/>
          </rPr>
          <t xml:space="preserve">Corresponde a las remuneraciones  no constitutivas de factor salarial que reconoce una unidad de gobierno a sus empleados y no se incluyen como "Prestaciones sociales según definición legal"
</t>
        </r>
      </text>
    </comment>
    <comment ref="AG33" authorId="0" shapeId="0" xr:uid="{AF157313-78F9-C544-9D5F-F4C64E3A780D}">
      <text>
        <r>
          <rPr>
            <sz val="9"/>
            <color indexed="81"/>
            <rFont val="Tahoma"/>
            <family val="2"/>
          </rPr>
          <t xml:space="preserve">Es la contribución social a pagar por los empleadores a los fondos de seguridad social en pensiones del Sistema General de Pensiones de conformidad con lo que establece la  Ley 100 de 1993
</t>
        </r>
      </text>
    </comment>
    <comment ref="AH33" authorId="0" shapeId="0" xr:uid="{487B56B1-E76D-AC41-8EDC-ADB043577E11}">
      <text>
        <r>
          <rPr>
            <sz val="9"/>
            <color indexed="81"/>
            <rFont val="Tahoma"/>
            <family val="2"/>
          </rPr>
          <t>Es la contribución social a pagar por los empleadores a las Entidades Promotoras en Salud - EPS  del Sistema General de Seguridad Social en Salud, para el cubrimiento de riesgos de salud de sus empleados de conformidad con lo que establece la Ley 100 de 1993</t>
        </r>
      </text>
    </comment>
    <comment ref="AI33" authorId="0" shapeId="0" xr:uid="{077B892A-CBB8-0D49-850C-BAC1A6EDBAA1}">
      <text>
        <r>
          <rPr>
            <sz val="9"/>
            <color indexed="81"/>
            <rFont val="Tahoma"/>
            <family val="2"/>
          </rPr>
          <t>Es la contribución que el empleador está obligado a pagar en razón de un mes de sueldo o jornal por cada año de servicio de su empleado, proporcionalmente fraccionado a favor de un fondo administrador de cesantías.</t>
        </r>
      </text>
    </comment>
    <comment ref="AK33" authorId="0" shapeId="0" xr:uid="{183895CF-AE68-0B4B-A654-736F21E2604A}">
      <text>
        <r>
          <rPr>
            <sz val="9"/>
            <color indexed="81"/>
            <rFont val="Tahoma"/>
            <family val="2"/>
          </rPr>
          <t>Es la contribución a pagar por los empleadores a una Administradora de Riesgos Laborales - ARL para el cubrimiento de las prestaciones económicas y asistenciales derivadas de un accidente de trabajo o una enfermedad profesional.</t>
        </r>
      </text>
    </comment>
    <comment ref="AL33" authorId="0" shapeId="0" xr:uid="{13CD7AD1-C5E2-234C-A374-460C6E5C897E}">
      <text>
        <r>
          <rPr>
            <sz val="9"/>
            <color indexed="81"/>
            <rFont val="Tahoma"/>
            <family val="2"/>
          </rPr>
          <t>Es la contribución parafiscal a pagar por todos los patronos y entidades públicas y privadas  al Instituto Colombiano de Bienestar Familiar (ICBF)</t>
        </r>
      </text>
    </comment>
    <comment ref="AM33" authorId="0" shapeId="0" xr:uid="{26D8D4FA-E55B-724E-8ACB-2F4B29FA024A}">
      <text>
        <r>
          <rPr>
            <sz val="9"/>
            <color indexed="81"/>
            <rFont val="Tahoma"/>
            <family val="2"/>
          </rPr>
          <t xml:space="preserve">Es la contribución parafiscal a pagar por la Nación a favor del Servicio Nacional de Aprendizaje (SENA).
</t>
        </r>
      </text>
    </comment>
    <comment ref="AN33" authorId="0" shapeId="0" xr:uid="{FED1377E-2532-0343-BD2C-B5EE40899103}">
      <text>
        <r>
          <rPr>
            <sz val="9"/>
            <color indexed="81"/>
            <rFont val="Tahoma"/>
            <family val="2"/>
          </rPr>
          <t>Contribución parafiscal a pagar por la Nación, los departamentos, intendencias, comisarías, el Distrito Especial de Bogotá y los municipios empleadores a la Escuela  Superior de Administración Pública (ESAP).</t>
        </r>
      </text>
    </comment>
    <comment ref="AO33" authorId="0" shapeId="0" xr:uid="{E0DB9937-A267-394E-8703-6F39CB9CB157}">
      <text>
        <r>
          <rPr>
            <sz val="9"/>
            <color indexed="81"/>
            <rFont val="Tahoma"/>
            <family val="2"/>
          </rPr>
          <t>Es la contribución parafiscal a pagar por la Nación, los departamentos, intendencias, comisarías, el Distrito Especial de Bogotá y los municipios empleadores, a favor de las escuelas industriales e institutos técnicos.</t>
        </r>
      </text>
    </comment>
    <comment ref="AP33" authorId="0" shapeId="0" xr:uid="{F35F05C5-5E3A-D24B-B40A-62E3B8E25300}">
      <text>
        <r>
          <rPr>
            <sz val="9"/>
            <color indexed="81"/>
            <rFont val="Tahoma"/>
            <family val="2"/>
          </rPr>
          <t xml:space="preserve">Es el aporte a pagar por los empleados públicos y, según lo contratado,  los trabajadores oficiales de determinados niveles o condiciones salariales a la 
Caja Promotora de Vivienda Militar y de Policía.
</t>
        </r>
      </text>
    </comment>
    <comment ref="D34" authorId="0" shapeId="0" xr:uid="{0BE847E4-5307-6948-B3B2-E165CCD66879}">
      <text>
        <r>
          <rPr>
            <sz val="9"/>
            <color rgb="FF000000"/>
            <rFont val="Tahoma"/>
            <family val="2"/>
          </rPr>
          <t>Corresponde a la parte del salario que se mantiene fija y se paga periódicamente, de acuerdo con las funciones, responsabilidades y requisitos.</t>
        </r>
        <r>
          <rPr>
            <b/>
            <sz val="9"/>
            <color rgb="FF000000"/>
            <rFont val="Tahoma"/>
            <family val="2"/>
          </rPr>
          <t xml:space="preserve">
</t>
        </r>
        <r>
          <rPr>
            <b/>
            <sz val="9"/>
            <color rgb="FF000000"/>
            <rFont val="Tahoma"/>
            <family val="2"/>
          </rPr>
          <t xml:space="preserve">
</t>
        </r>
        <r>
          <rPr>
            <sz val="9"/>
            <color rgb="FF000000"/>
            <rFont val="Tahoma"/>
            <family val="2"/>
          </rPr>
          <t xml:space="preserve">EL SUELDO BÁSICO SE PAGA SIN TENER EN CUENTA ADICIONALES DE HORAS EXTRAS, PRIMAS Y OTROS FACTORES EVENTUALES O FIJOS QUE AUMENTEN EL INGRESO DEL EMPLEADO.
</t>
        </r>
        <r>
          <rPr>
            <sz val="9"/>
            <color rgb="FF000000"/>
            <rFont val="Tahoma"/>
            <family val="2"/>
          </rPr>
          <t xml:space="preserve">
</t>
        </r>
      </text>
    </comment>
    <comment ref="F34" authorId="0" shapeId="0" xr:uid="{390B7844-401B-D440-BCAB-E90DF66825F5}">
      <text>
        <r>
          <rPr>
            <sz val="9"/>
            <color rgb="FF000000"/>
            <rFont val="Tahoma"/>
            <family val="2"/>
          </rPr>
          <t xml:space="preserve">Asignación complementaria del sueldo, que se reconoce excepcional a empleados de alto nivel jerárquico de acuerdo con la importancia de la representación que ostentan. </t>
        </r>
        <r>
          <rPr>
            <b/>
            <sz val="9"/>
            <color rgb="FF000000"/>
            <rFont val="Tahoma"/>
            <family val="2"/>
          </rPr>
          <t xml:space="preserve">
</t>
        </r>
      </text>
    </comment>
    <comment ref="G34" authorId="0" shapeId="0" xr:uid="{BA80C1C1-917B-5D45-8701-578FC46B3814}">
      <text>
        <r>
          <rPr>
            <sz val="9"/>
            <color rgb="FF000000"/>
            <rFont val="Tahoma"/>
            <family val="2"/>
          </rPr>
          <t xml:space="preserve">Reconocimiento económico a servidores públicos que desempeñen cargos altamente calificados cuyas funciones demanden la aplicación de conocimientos técnicos o científicos.
</t>
        </r>
      </text>
    </comment>
    <comment ref="H34" authorId="0" shapeId="0" xr:uid="{4911486D-7FB5-B049-BC0E-5C98D7CCF194}">
      <text>
        <r>
          <rPr>
            <sz val="9"/>
            <color indexed="81"/>
            <rFont val="Tahoma"/>
            <family val="2"/>
          </rPr>
          <t xml:space="preserve">Corresponde al pago habitual y periódico de una suma de dinero, fijada por Decreto Nacional,  destinada a la provisión de alimento de los empleados públicos, y  de los trabajadores oficiales de determinados niveles salariales .
</t>
        </r>
      </text>
    </comment>
    <comment ref="I34" authorId="0" shapeId="0" xr:uid="{3CA1E310-AFB7-D646-8E50-52948BCF070B}">
      <text>
        <r>
          <rPr>
            <sz val="9"/>
            <color indexed="81"/>
            <rFont val="Tahoma"/>
            <family val="2"/>
          </rPr>
          <t xml:space="preserve">Comprende el pago que se les hace a los servidores públicos que devenguen un sueldo mensual básico de hasta dos (2) veces el salario mínimo legal vigente 
</t>
        </r>
      </text>
    </comment>
    <comment ref="J34" authorId="0" shapeId="0" xr:uid="{4E6D8666-0A41-824A-9E49-AF7F41211ECA}">
      <text>
        <r>
          <rPr>
            <sz val="9"/>
            <color indexed="81"/>
            <rFont val="Tahoma"/>
            <family val="2"/>
          </rPr>
          <t xml:space="preserve">Corresponde al pago equivalente a 15 días de remuneración que se le reconoce al servidor público por cada año laborado, o proporcionalmente si el funcionario laboró como mínimo por seis meses en la entidad.
</t>
        </r>
      </text>
    </comment>
    <comment ref="K34" authorId="0" shapeId="0" xr:uid="{CB3C5B21-5E57-084E-91DA-F2540E3AD441}">
      <text>
        <r>
          <rPr>
            <sz val="9"/>
            <color indexed="81"/>
            <rFont val="Tahoma"/>
            <family val="2"/>
          </rPr>
          <t xml:space="preserve">Reconocimiento que se hace al empleado cada vez que cumpla un año continúo de labor en una misma entidad y que se paga en un plazo de veinte días después del cumplimiento de los requisitos para recibir la bonificación.
</t>
        </r>
      </text>
    </comment>
    <comment ref="L34" authorId="0" shapeId="0" xr:uid="{5C3990A9-5ACC-1946-B25A-14D4E5CBD781}">
      <text>
        <r>
          <rPr>
            <sz val="9"/>
            <color indexed="81"/>
            <rFont val="Tahoma"/>
            <family val="2"/>
          </rPr>
          <t>Corresponde a la remuneración al trabajo suplementario o realizado en horas adicionales a la jornada ordinaria establecida</t>
        </r>
      </text>
    </comment>
    <comment ref="M34" authorId="0" shapeId="0" xr:uid="{AAE2B2CA-7982-6E4C-BD9C-51B29CEA8DE5}">
      <text>
        <r>
          <rPr>
            <sz val="9"/>
            <color indexed="81"/>
            <rFont val="Tahoma"/>
            <family val="2"/>
          </rPr>
          <t>Reconocimiento que otorga la ley a los empleados públicos y los trabajadores oficiales por haber servido durante todo el año civil.</t>
        </r>
      </text>
    </comment>
    <comment ref="N34" authorId="0" shapeId="0" xr:uid="{1A0E993B-5145-FC4F-9DCF-279AA8582CD0}">
      <text>
        <r>
          <rPr>
            <sz val="9"/>
            <color indexed="81"/>
            <rFont val="Tahoma"/>
            <family val="2"/>
          </rPr>
          <t>Reconocimiento que otorga la ley a los empleados públicos y los trabajadores oficiales, con el fin de brindarles mayores recursos económicos para gozar del periodo de vacaciones</t>
        </r>
      </text>
    </comment>
    <comment ref="W34" authorId="0" shapeId="0" xr:uid="{CB031AEA-DA07-6E4E-A3C8-82E82D6A8169}">
      <text>
        <r>
          <rPr>
            <sz val="9"/>
            <color indexed="81"/>
            <rFont val="Tahoma"/>
            <family val="2"/>
          </rPr>
          <t>Reconocimiento en tiempo libre y en dinero al que tiene derecho todo empleado público o trabajador oficial por haberle servido a la administración pública durante un año.</t>
        </r>
      </text>
    </comment>
    <comment ref="X34" authorId="0" shapeId="0" xr:uid="{CB11A42A-BD97-564B-AE8A-4F848F45AB25}">
      <text>
        <r>
          <rPr>
            <sz val="9"/>
            <color indexed="81"/>
            <rFont val="Tahoma"/>
            <family val="2"/>
          </rPr>
          <t>Corresponde a la compensación en dinero a la que tiene derecho el empleado público o trabajador oficial por vacaciones causadas, pero no disfrutadas.</t>
        </r>
      </text>
    </comment>
    <comment ref="Y34" authorId="0" shapeId="0" xr:uid="{131C8A39-186F-6C4D-B5C5-2FBDE101B443}">
      <text>
        <r>
          <rPr>
            <sz val="9"/>
            <color indexed="81"/>
            <rFont val="Tahoma"/>
            <family val="2"/>
          </rPr>
          <t>Corresponde al pago que se les hace a los empleados públicos por cada período de vacaciones.</t>
        </r>
      </text>
    </comment>
    <comment ref="D35" authorId="0" shapeId="0" xr:uid="{F881583C-9A0E-074C-841F-E2D90DA978C3}">
      <text>
        <r>
          <rPr>
            <sz val="9"/>
            <color rgb="FF000000"/>
            <rFont val="Tahoma"/>
            <family val="2"/>
          </rPr>
          <t xml:space="preserve">El sueldo básico mensual debe tener en cuenta el número de cargos por cada grado
</t>
        </r>
        <r>
          <rPr>
            <sz val="9"/>
            <color rgb="FF000000"/>
            <rFont val="Tahoma"/>
            <family val="2"/>
          </rPr>
          <t xml:space="preserve">
</t>
        </r>
      </text>
    </comment>
  </commentList>
</comments>
</file>

<file path=xl/sharedStrings.xml><?xml version="1.0" encoding="utf-8"?>
<sst xmlns="http://schemas.openxmlformats.org/spreadsheetml/2006/main" count="499" uniqueCount="131">
  <si>
    <t>DENOMINACIÓN DE CARGOS</t>
  </si>
  <si>
    <t>Grado</t>
  </si>
  <si>
    <t>No. Cargos</t>
  </si>
  <si>
    <t>Salario</t>
  </si>
  <si>
    <t>Remuneraciones no constitutivas de Factor Salarial</t>
  </si>
  <si>
    <t>Contribuciones Inherentes a la Nómina</t>
  </si>
  <si>
    <t>Prestaciones sociales relacionadas con el empleo</t>
  </si>
  <si>
    <t>Total  
Gastos de personal</t>
  </si>
  <si>
    <t>Factores Salariales comunes</t>
  </si>
  <si>
    <t>Factores Salariales Especiales</t>
  </si>
  <si>
    <t>Total</t>
  </si>
  <si>
    <t>Prestaciones sociales según definición legal</t>
  </si>
  <si>
    <t>Otras remuneraciones no constitutivas de Factor Salarial</t>
  </si>
  <si>
    <t>Pensiones</t>
  </si>
  <si>
    <t>Salud</t>
  </si>
  <si>
    <t>Aportes de Cesantías</t>
  </si>
  <si>
    <t>Cajas de Compensación Familiar</t>
  </si>
  <si>
    <t>Aportes Generales al Sistema de Riesgos Laborales</t>
  </si>
  <si>
    <t>Aportes al ICBF</t>
  </si>
  <si>
    <t>Aportes al SENA</t>
  </si>
  <si>
    <t>Aportes a la ESAP</t>
  </si>
  <si>
    <t>Aportes a escuelas industriales e institutos técnicos</t>
  </si>
  <si>
    <t>Subsidio de vivienda Fuerzas Militares y Policía</t>
  </si>
  <si>
    <t>Incapacidades (No de pensiones)</t>
  </si>
  <si>
    <t>Licencias de maternidad y paternidad (No de pensiones)</t>
  </si>
  <si>
    <t>Total 
Transferencia</t>
  </si>
  <si>
    <t>Sueldo básico</t>
  </si>
  <si>
    <t>Gastos de representación</t>
  </si>
  <si>
    <t>Prima técnica salarial</t>
  </si>
  <si>
    <t>Subsidio de alimentación</t>
  </si>
  <si>
    <t>Auxilio de transporte</t>
  </si>
  <si>
    <t>Prima de servicio</t>
  </si>
  <si>
    <t>Bonificación por servicios prestados</t>
  </si>
  <si>
    <t>Horas extras, dominicales, festivos y recargos</t>
  </si>
  <si>
    <t>Prima de navidad</t>
  </si>
  <si>
    <t>Prima de vacaciones</t>
  </si>
  <si>
    <t>Viáticos de los funcionarios en comisión</t>
  </si>
  <si>
    <t>Subtotal 1</t>
  </si>
  <si>
    <t>Factor Salarial Especial 1</t>
  </si>
  <si>
    <t>Factor Salarial Especial 2</t>
  </si>
  <si>
    <t>Factor Salarial Especial 3</t>
  </si>
  <si>
    <t>Factor Salarial Especial 4</t>
  </si>
  <si>
    <t>Subtotal 2</t>
  </si>
  <si>
    <t>Sueldo de vacaciones</t>
  </si>
  <si>
    <t>Indemnización por vacaciones</t>
  </si>
  <si>
    <t>Bonificación especial de recreación</t>
  </si>
  <si>
    <t>Remuneración 1</t>
  </si>
  <si>
    <t>Remuneración 2</t>
  </si>
  <si>
    <t>Remuneración 3</t>
  </si>
  <si>
    <t>Remuneración 4</t>
  </si>
  <si>
    <t>Institutos</t>
  </si>
  <si>
    <t>Anual</t>
  </si>
  <si>
    <t>Técnicos</t>
  </si>
  <si>
    <t>4+5= 6</t>
  </si>
  <si>
    <t>7+8=9</t>
  </si>
  <si>
    <t>11.1+11.2</t>
  </si>
  <si>
    <t>6+9+10=12</t>
  </si>
  <si>
    <t>EMPLEADOS PÚBLICOS</t>
  </si>
  <si>
    <t>NIVEL DIRECTIVO</t>
  </si>
  <si>
    <t>DIRECTOR TECNICO</t>
  </si>
  <si>
    <t>TOTAL EMPLEADOS PÚBLICOS</t>
  </si>
  <si>
    <t>TRABAJADORES OFICIALES</t>
  </si>
  <si>
    <t>Mes *</t>
  </si>
  <si>
    <t>JEFE DE OFICINA DE CONTROL INTERNO DISCIPLINARIO</t>
  </si>
  <si>
    <t>ENTIDAD:</t>
  </si>
  <si>
    <t>CONCEPTO:</t>
  </si>
  <si>
    <t xml:space="preserve">VIGENCIA: </t>
  </si>
  <si>
    <t>Departamento Administrativo Nacional de Estadística – DANE</t>
  </si>
  <si>
    <t xml:space="preserve">Costos Cargos a Crear </t>
  </si>
  <si>
    <t>2022</t>
  </si>
  <si>
    <t>NIVEL ASESOR</t>
  </si>
  <si>
    <t>ASESOR</t>
  </si>
  <si>
    <t>NIVEL TÉCNICO</t>
  </si>
  <si>
    <t>AUXILIAR TÉCNICO</t>
  </si>
  <si>
    <t>TÉCNICO ADMINISTRATIVO</t>
  </si>
  <si>
    <t>NIVEL ASISTENCIAL</t>
  </si>
  <si>
    <t>08</t>
  </si>
  <si>
    <t>03</t>
  </si>
  <si>
    <t>05</t>
  </si>
  <si>
    <t>AUXILIAR ADMINISTRATIVO</t>
  </si>
  <si>
    <t>07</t>
  </si>
  <si>
    <t>AUXILIAR DE SERVICIOS GENERALES</t>
  </si>
  <si>
    <t xml:space="preserve">Costos Cargos a Suprimir </t>
  </si>
  <si>
    <t xml:space="preserve">Denominación del Empleo </t>
  </si>
  <si>
    <t xml:space="preserve">No. Cargos </t>
  </si>
  <si>
    <t xml:space="preserve">Total Gastos Personal </t>
  </si>
  <si>
    <t xml:space="preserve">CARGOS A SUPRIMIR </t>
  </si>
  <si>
    <t>CARGOS A CREAR</t>
  </si>
  <si>
    <t>Total Gatos Personal</t>
  </si>
  <si>
    <t xml:space="preserve">TOTAL </t>
  </si>
  <si>
    <t>Diferencia Total Gastos Personal  (cargas suprimir-cargos crear)</t>
  </si>
  <si>
    <t>Costos Cargos a Suprimir Vs. Cargos a Crear</t>
  </si>
  <si>
    <t>NIVEL</t>
  </si>
  <si>
    <t>CARGO ACTUAL</t>
  </si>
  <si>
    <t>CODIGO</t>
  </si>
  <si>
    <t>GRADO</t>
  </si>
  <si>
    <t>DEPENDENCIA</t>
  </si>
  <si>
    <t>AREA</t>
  </si>
  <si>
    <t>GIT / SEDE / SUBSEDE</t>
  </si>
  <si>
    <t>CIUDAD</t>
  </si>
  <si>
    <t>SUBDIRECCION DEL DEPARTAMENTO</t>
  </si>
  <si>
    <t>DIRECCION DE SINTESIS Y CUENTAS NACIONALES</t>
  </si>
  <si>
    <t>GIT AREA CUENTAS SATELITES</t>
  </si>
  <si>
    <t>BOGOTA</t>
  </si>
  <si>
    <t>TECNICO</t>
  </si>
  <si>
    <t>TECNICO ADMINISTRATIVO</t>
  </si>
  <si>
    <t>DIRECCIONES TERRITORIALES</t>
  </si>
  <si>
    <t xml:space="preserve">DIRECCION TERRITORIAL SUR OCCIDENTE -  CALI </t>
  </si>
  <si>
    <t>MOCOA</t>
  </si>
  <si>
    <t>AUXILIAR DE TECNICO</t>
  </si>
  <si>
    <t>PASTO</t>
  </si>
  <si>
    <t>DIRECCION TERRITORIAL CENTRO ORIENTE -  BUCARAMANGA</t>
  </si>
  <si>
    <t>BUCARAMANGA</t>
  </si>
  <si>
    <t>ASISTENCIAL</t>
  </si>
  <si>
    <t>SECRETARIA GENERAL</t>
  </si>
  <si>
    <t>GIT AREA GESTION ADMINISTRATIVA</t>
  </si>
  <si>
    <t>4044</t>
  </si>
  <si>
    <t>GIT AREA FINANCIERA</t>
  </si>
  <si>
    <t>DIRECCION TERRITORIAL NORTE -  BARRANQUILLA</t>
  </si>
  <si>
    <t>BARRANQUILLA</t>
  </si>
  <si>
    <t>DIRECCION TERRITORIAL CENTRO -  BOGOTA</t>
  </si>
  <si>
    <t>YOPAL</t>
  </si>
  <si>
    <t xml:space="preserve">DIRECCION TERRITORIAL NOROCCIDENTE -  MEDELLIN </t>
  </si>
  <si>
    <t>MEDELLIN</t>
  </si>
  <si>
    <t xml:space="preserve">DIRECCION TERRITORIAL CENTRO OCCIDENTE -  MANIZALES </t>
  </si>
  <si>
    <t>GIT OPERATIVO MANIZALES</t>
  </si>
  <si>
    <t>MANIZALES</t>
  </si>
  <si>
    <t>* Asignaciones básicas de la vigencia 2021, establecidas en el Decreto 961 del 22 de agosto de 2021 “Por el cual se fijan las remuneraciones de los empleos que sean desempeñados por empleados públicos de la Rama Ejecutiva, Corporaciones Autónomas Regionales y de Desarrollo Sostenible, y se dictan otras disposiciones”.</t>
  </si>
  <si>
    <t xml:space="preserve">* Proyectadas con un incremento del 3% con respecto a las asignaciones básicas de la vigencia 2021,  establecidas en el Decreto 961 del 22 de agosto de 2021 </t>
  </si>
  <si>
    <t xml:space="preserve">* Asignaciones básicas de la vigencia 2021, establecidas en el Decreto 961 del 22 de agosto de 2021 “Por el cual se fijan las remuneraciones de los empleos que sean desempeñados por empleados públicos de la Rama Ejecutiva, Corporaciones Autónomas Regionales y de Desarrollo Sostenible, y se dictan otras disposiciones”.			
			</t>
  </si>
  <si>
    <t xml:space="preserve">* Proyectadas con un incremento del 3% con respecto a las asignaciones básicas de la vigencia 2021,  establecidas en el Decreto 961 del 22 de agosto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</si>
</sst>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4" formatCode="_-&quot;$&quot;* #,##0.00_-;\-&quot;$&quot;* #,##0.00_-;_-&quot;$&quot;* &quot;-&quot;??_-;_-@_-"/>
    <numFmt numFmtId="164" formatCode="0_)"/>
  </numFmts>
  <fonts count="20" x14ac:knownFonts="1">
    <font>
      <sz val="12"/>
      <color theme="1"/>
      <name val="Calibri"/>
      <family val="2"/>
      <scheme val="minor"/>
    </font>
    <font>
      <sz val="12"/>
      <color theme="1"/>
      <name val="Calibri"/>
      <family val="2"/>
      <scheme val="minor"/>
    </font>
    <font>
      <sz val="10"/>
      <name val="Arial"/>
      <family val="2"/>
    </font>
    <font>
      <sz val="11"/>
      <color theme="1"/>
      <name val="Calibri"/>
      <family val="2"/>
      <scheme val="minor"/>
    </font>
    <font>
      <sz val="9"/>
      <color indexed="81"/>
      <name val="Tahoma"/>
      <family val="2"/>
    </font>
    <font>
      <sz val="9"/>
      <color rgb="FF000000"/>
      <name val="Tahoma"/>
      <family val="2"/>
    </font>
    <font>
      <b/>
      <sz val="9"/>
      <color indexed="81"/>
      <name val="Tahoma"/>
      <family val="2"/>
    </font>
    <font>
      <b/>
      <sz val="9"/>
      <color rgb="FF000000"/>
      <name val="Tahoma"/>
      <family val="2"/>
    </font>
    <font>
      <b/>
      <sz val="10"/>
      <name val="Arial"/>
      <family val="2"/>
    </font>
    <font>
      <b/>
      <sz val="10"/>
      <color rgb="FFFFFFFF"/>
      <name val="Arial"/>
      <family val="2"/>
    </font>
    <font>
      <b/>
      <sz val="12"/>
      <name val="Arial"/>
      <family val="2"/>
    </font>
    <font>
      <sz val="10"/>
      <color theme="1"/>
      <name val="Arial"/>
      <family val="2"/>
    </font>
    <font>
      <sz val="11"/>
      <color theme="1"/>
      <name val="Arial"/>
      <family val="2"/>
    </font>
    <font>
      <b/>
      <sz val="12"/>
      <color theme="0"/>
      <name val="Arial"/>
      <family val="2"/>
    </font>
    <font>
      <b/>
      <sz val="11"/>
      <color theme="0"/>
      <name val="Arial"/>
      <family val="2"/>
    </font>
    <font>
      <sz val="11"/>
      <name val="Arial"/>
      <family val="2"/>
    </font>
    <font>
      <b/>
      <i/>
      <sz val="8"/>
      <name val="Arial"/>
      <family val="2"/>
    </font>
    <font>
      <sz val="10"/>
      <name val="Courier"/>
      <family val="3"/>
    </font>
    <font>
      <b/>
      <sz val="8"/>
      <name val="Arial"/>
      <family val="2"/>
    </font>
    <font>
      <sz val="12"/>
      <name val="Calibri"/>
      <family val="2"/>
      <scheme val="minor"/>
    </font>
  </fonts>
  <fills count="11">
    <fill>
      <patternFill patternType="none"/>
    </fill>
    <fill>
      <patternFill patternType="gray125"/>
    </fill>
    <fill>
      <patternFill patternType="solid">
        <fgColor rgb="FFFFFFFF"/>
        <bgColor rgb="FF000000"/>
      </patternFill>
    </fill>
    <fill>
      <patternFill patternType="solid">
        <fgColor rgb="FF790909"/>
        <bgColor rgb="FF000000"/>
      </patternFill>
    </fill>
    <fill>
      <patternFill patternType="solid">
        <fgColor rgb="FF9BC2E6"/>
        <bgColor rgb="FF000000"/>
      </patternFill>
    </fill>
    <fill>
      <patternFill patternType="solid">
        <fgColor rgb="FFDDEBF7"/>
        <bgColor rgb="FF000000"/>
      </patternFill>
    </fill>
    <fill>
      <patternFill patternType="solid">
        <fgColor rgb="FF2F75B5"/>
        <bgColor rgb="FF000000"/>
      </patternFill>
    </fill>
    <fill>
      <patternFill patternType="solid">
        <fgColor rgb="FF7E0205"/>
        <bgColor indexed="64"/>
      </patternFill>
    </fill>
    <fill>
      <patternFill patternType="solid">
        <fgColor theme="4" tint="-0.249977111117893"/>
        <bgColor indexed="64"/>
      </patternFill>
    </fill>
    <fill>
      <patternFill patternType="solid">
        <fgColor theme="8" tint="0.79998168889431442"/>
        <bgColor rgb="FF000000"/>
      </patternFill>
    </fill>
    <fill>
      <patternFill patternType="solid">
        <fgColor theme="0"/>
        <bgColor indexed="64"/>
      </patternFill>
    </fill>
  </fills>
  <borders count="5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indexed="64"/>
      </bottom>
      <diagonal/>
    </border>
    <border>
      <left/>
      <right style="thin">
        <color auto="1"/>
      </right>
      <top style="double">
        <color auto="1"/>
      </top>
      <bottom/>
      <diagonal/>
    </border>
    <border>
      <left style="thin">
        <color auto="1"/>
      </left>
      <right/>
      <top style="double">
        <color auto="1"/>
      </top>
      <bottom/>
      <diagonal/>
    </border>
    <border>
      <left style="thin">
        <color auto="1"/>
      </left>
      <right style="thin">
        <color auto="1"/>
      </right>
      <top style="double">
        <color auto="1"/>
      </top>
      <bottom/>
      <diagonal/>
    </border>
    <border>
      <left style="thin">
        <color auto="1"/>
      </left>
      <right/>
      <top/>
      <bottom/>
      <diagonal/>
    </border>
    <border>
      <left/>
      <right style="thin">
        <color indexed="64"/>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bottom/>
      <diagonal/>
    </border>
    <border>
      <left style="thin">
        <color auto="1"/>
      </left>
      <right style="double">
        <color auto="1"/>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double">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double">
        <color auto="1"/>
      </right>
      <top/>
      <bottom style="thin">
        <color indexed="64"/>
      </bottom>
      <diagonal/>
    </border>
    <border>
      <left/>
      <right style="thin">
        <color auto="1"/>
      </right>
      <top style="double">
        <color auto="1"/>
      </top>
      <bottom style="double">
        <color auto="1"/>
      </bottom>
      <diagonal/>
    </border>
    <border>
      <left/>
      <right/>
      <top style="double">
        <color indexed="64"/>
      </top>
      <bottom style="double">
        <color indexed="64"/>
      </bottom>
      <diagonal/>
    </border>
    <border>
      <left style="thin">
        <color auto="1"/>
      </left>
      <right/>
      <top style="double">
        <color auto="1"/>
      </top>
      <bottom style="double">
        <color indexed="64"/>
      </bottom>
      <diagonal/>
    </border>
    <border>
      <left style="thin">
        <color auto="1"/>
      </left>
      <right style="thin">
        <color auto="1"/>
      </right>
      <top style="double">
        <color auto="1"/>
      </top>
      <bottom style="double">
        <color auto="1"/>
      </bottom>
      <diagonal/>
    </border>
    <border>
      <left style="thin">
        <color auto="1"/>
      </left>
      <right style="thin">
        <color auto="1"/>
      </right>
      <top style="thin">
        <color indexed="64"/>
      </top>
      <bottom style="double">
        <color auto="1"/>
      </bottom>
      <diagonal/>
    </border>
    <border>
      <left/>
      <right style="double">
        <color auto="1"/>
      </right>
      <top/>
      <bottom/>
      <diagonal/>
    </border>
    <border>
      <left style="thin">
        <color auto="1"/>
      </left>
      <right style="thin">
        <color auto="1"/>
      </right>
      <top/>
      <bottom style="double">
        <color auto="1"/>
      </bottom>
      <diagonal/>
    </border>
    <border>
      <left style="medium">
        <color auto="1"/>
      </left>
      <right style="thin">
        <color indexed="64"/>
      </right>
      <top style="double">
        <color indexed="64"/>
      </top>
      <bottom style="double">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6">
    <xf numFmtId="0" fontId="0" fillId="0" borderId="0"/>
    <xf numFmtId="42" fontId="1" fillId="0" borderId="0" applyFont="0" applyFill="0" applyBorder="0" applyAlignment="0" applyProtection="0"/>
    <xf numFmtId="37" fontId="2" fillId="0" borderId="0"/>
    <xf numFmtId="0" fontId="2" fillId="0" borderId="0"/>
    <xf numFmtId="0" fontId="3" fillId="0" borderId="0"/>
    <xf numFmtId="37" fontId="17" fillId="0" borderId="0"/>
  </cellStyleXfs>
  <cellXfs count="145">
    <xf numFmtId="0" fontId="0" fillId="0" borderId="0" xfId="0"/>
    <xf numFmtId="0" fontId="2" fillId="0" borderId="0" xfId="3" applyFont="1" applyFill="1" applyBorder="1" applyProtection="1">
      <protection locked="0"/>
    </xf>
    <xf numFmtId="0" fontId="2" fillId="0" borderId="3" xfId="3" applyFont="1" applyFill="1" applyBorder="1" applyProtection="1">
      <protection locked="0"/>
    </xf>
    <xf numFmtId="0" fontId="9" fillId="3" borderId="18"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2" fontId="9" fillId="3" borderId="8"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0" fontId="8" fillId="4" borderId="23" xfId="0" applyFont="1" applyFill="1" applyBorder="1" applyAlignment="1" applyProtection="1">
      <alignment vertical="center" wrapText="1"/>
      <protection locked="0"/>
    </xf>
    <xf numFmtId="0" fontId="9" fillId="4" borderId="23" xfId="4" applyFont="1" applyFill="1" applyBorder="1" applyAlignment="1" applyProtection="1">
      <alignment vertical="center" wrapText="1"/>
      <protection locked="0"/>
    </xf>
    <xf numFmtId="0" fontId="9" fillId="4" borderId="24" xfId="4" applyFont="1" applyFill="1" applyBorder="1" applyAlignment="1" applyProtection="1">
      <alignment vertical="center" wrapText="1"/>
      <protection locked="0"/>
    </xf>
    <xf numFmtId="42" fontId="9" fillId="4" borderId="25" xfId="1" applyFont="1" applyFill="1" applyBorder="1" applyAlignment="1" applyProtection="1">
      <alignment vertical="center" wrapText="1"/>
      <protection locked="0"/>
    </xf>
    <xf numFmtId="42" fontId="9" fillId="4" borderId="26" xfId="1" applyFont="1" applyFill="1" applyBorder="1" applyAlignment="1" applyProtection="1">
      <alignment vertical="center" wrapText="1"/>
      <protection locked="0"/>
    </xf>
    <xf numFmtId="42" fontId="9" fillId="4" borderId="24" xfId="1" applyFont="1" applyFill="1" applyBorder="1" applyAlignment="1" applyProtection="1">
      <alignment vertical="center" wrapText="1"/>
      <protection locked="0"/>
    </xf>
    <xf numFmtId="42" fontId="9" fillId="4" borderId="27" xfId="1" applyFont="1" applyFill="1" applyBorder="1" applyAlignment="1" applyProtection="1">
      <alignment vertical="center" wrapText="1"/>
      <protection locked="0"/>
    </xf>
    <xf numFmtId="42" fontId="2" fillId="0" borderId="12" xfId="1" applyFont="1" applyFill="1" applyBorder="1" applyAlignment="1" applyProtection="1">
      <alignment wrapText="1"/>
      <protection locked="0"/>
    </xf>
    <xf numFmtId="42" fontId="2" fillId="0" borderId="18" xfId="1" applyFont="1" applyFill="1" applyBorder="1" applyAlignment="1" applyProtection="1">
      <alignment wrapText="1"/>
      <protection locked="0"/>
    </xf>
    <xf numFmtId="42" fontId="2" fillId="0" borderId="0" xfId="1" applyFont="1" applyFill="1" applyBorder="1" applyAlignment="1" applyProtection="1">
      <alignment wrapText="1"/>
      <protection locked="0"/>
    </xf>
    <xf numFmtId="42" fontId="2" fillId="0" borderId="28" xfId="1" applyFont="1" applyFill="1" applyBorder="1" applyAlignment="1" applyProtection="1">
      <alignment wrapText="1"/>
      <protection locked="0"/>
    </xf>
    <xf numFmtId="164" fontId="2" fillId="2" borderId="18" xfId="3" applyNumberFormat="1" applyFont="1" applyFill="1" applyBorder="1" applyAlignment="1" applyProtection="1">
      <alignment horizontal="center" wrapText="1"/>
      <protection locked="0"/>
    </xf>
    <xf numFmtId="164" fontId="2" fillId="2" borderId="12" xfId="3" applyNumberFormat="1" applyFont="1" applyFill="1" applyBorder="1" applyAlignment="1" applyProtection="1">
      <alignment horizontal="center" wrapText="1"/>
      <protection locked="0"/>
    </xf>
    <xf numFmtId="164" fontId="2" fillId="2" borderId="29" xfId="3" applyNumberFormat="1" applyFont="1" applyFill="1" applyBorder="1" applyAlignment="1" applyProtection="1">
      <alignment horizontal="center" wrapText="1"/>
      <protection locked="0"/>
    </xf>
    <xf numFmtId="37" fontId="2" fillId="0" borderId="18" xfId="2" applyFont="1" applyFill="1" applyBorder="1" applyAlignment="1" applyProtection="1">
      <alignment wrapText="1"/>
      <protection locked="0"/>
    </xf>
    <xf numFmtId="0" fontId="9" fillId="6" borderId="30" xfId="4" applyFont="1" applyFill="1" applyBorder="1" applyAlignment="1" applyProtection="1">
      <alignment vertical="center" wrapText="1"/>
      <protection locked="0"/>
    </xf>
    <xf numFmtId="0" fontId="9" fillId="6" borderId="23" xfId="4" applyFont="1" applyFill="1" applyBorder="1" applyAlignment="1" applyProtection="1">
      <alignment horizontal="center" vertical="center" wrapText="1"/>
      <protection locked="0"/>
    </xf>
    <xf numFmtId="164" fontId="9" fillId="6" borderId="24" xfId="4" applyNumberFormat="1"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wrapText="1"/>
      <protection locked="0"/>
    </xf>
    <xf numFmtId="42" fontId="8" fillId="4" borderId="23" xfId="1" applyFont="1" applyFill="1" applyBorder="1" applyAlignment="1" applyProtection="1">
      <alignment wrapText="1"/>
      <protection locked="0"/>
    </xf>
    <xf numFmtId="42" fontId="8" fillId="4" borderId="26" xfId="1" applyFont="1" applyFill="1" applyBorder="1" applyAlignment="1" applyProtection="1">
      <alignment wrapText="1"/>
      <protection locked="0"/>
    </xf>
    <xf numFmtId="42" fontId="8" fillId="4" borderId="24" xfId="1" applyFont="1" applyFill="1" applyBorder="1" applyAlignment="1" applyProtection="1">
      <alignment wrapText="1"/>
      <protection locked="0"/>
    </xf>
    <xf numFmtId="0" fontId="8" fillId="5" borderId="23" xfId="0" applyFont="1" applyFill="1" applyBorder="1" applyAlignment="1" applyProtection="1">
      <alignment horizontal="justify" vertical="center" wrapText="1"/>
      <protection locked="0"/>
    </xf>
    <xf numFmtId="42" fontId="8" fillId="5" borderId="23" xfId="1" applyFont="1" applyFill="1" applyBorder="1" applyAlignment="1" applyProtection="1">
      <alignment horizontal="justify" vertical="center" wrapText="1"/>
      <protection locked="0"/>
    </xf>
    <xf numFmtId="42" fontId="8" fillId="5" borderId="24" xfId="1" applyFont="1" applyFill="1" applyBorder="1" applyAlignment="1" applyProtection="1">
      <alignment horizontal="justify" vertical="center" wrapText="1"/>
      <protection locked="0"/>
    </xf>
    <xf numFmtId="42" fontId="8" fillId="5" borderId="26" xfId="1" applyFont="1" applyFill="1" applyBorder="1" applyAlignment="1" applyProtection="1">
      <alignment horizontal="justify" vertical="center" wrapText="1"/>
      <protection locked="0"/>
    </xf>
    <xf numFmtId="164" fontId="8" fillId="5" borderId="23" xfId="0" applyNumberFormat="1" applyFont="1" applyFill="1" applyBorder="1" applyAlignment="1" applyProtection="1">
      <alignment horizontal="center" vertical="center" wrapText="1"/>
      <protection locked="0"/>
    </xf>
    <xf numFmtId="42" fontId="2" fillId="0" borderId="18" xfId="1" applyFont="1" applyFill="1" applyBorder="1" applyProtection="1">
      <protection locked="0"/>
    </xf>
    <xf numFmtId="44" fontId="0" fillId="0" borderId="0" xfId="0" applyNumberFormat="1"/>
    <xf numFmtId="42" fontId="9" fillId="6" borderId="24" xfId="1" applyFont="1" applyFill="1" applyBorder="1" applyAlignment="1" applyProtection="1">
      <alignment horizontal="center" vertical="center" wrapText="1"/>
      <protection locked="0"/>
    </xf>
    <xf numFmtId="37" fontId="8" fillId="0" borderId="0" xfId="2" applyFont="1" applyFill="1" applyBorder="1" applyAlignment="1" applyProtection="1">
      <alignment vertical="center"/>
      <protection locked="0"/>
    </xf>
    <xf numFmtId="0" fontId="9" fillId="3" borderId="18"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37" fontId="10" fillId="0" borderId="0" xfId="2" applyFont="1" applyFill="1" applyBorder="1" applyAlignment="1" applyProtection="1">
      <alignment vertical="center"/>
      <protection locked="0"/>
    </xf>
    <xf numFmtId="37" fontId="10" fillId="0" borderId="0" xfId="2" applyFont="1" applyFill="1" applyBorder="1" applyAlignment="1" applyProtection="1">
      <alignment vertical="center"/>
      <protection locked="0"/>
    </xf>
    <xf numFmtId="0" fontId="9" fillId="3" borderId="18"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37" fontId="10" fillId="0" borderId="0" xfId="2" applyFont="1" applyFill="1" applyBorder="1" applyAlignment="1" applyProtection="1">
      <alignment vertical="center"/>
      <protection locked="0"/>
    </xf>
    <xf numFmtId="0" fontId="8" fillId="5" borderId="23" xfId="0" applyFont="1" applyFill="1" applyBorder="1" applyAlignment="1" applyProtection="1">
      <alignment vertical="center" wrapText="1"/>
      <protection locked="0"/>
    </xf>
    <xf numFmtId="0" fontId="8" fillId="5" borderId="23" xfId="0" applyFont="1" applyFill="1" applyBorder="1" applyAlignment="1" applyProtection="1">
      <alignment horizontal="center" wrapText="1"/>
      <protection locked="0"/>
    </xf>
    <xf numFmtId="37" fontId="2" fillId="0" borderId="18" xfId="2" applyFont="1" applyFill="1" applyBorder="1" applyAlignment="1" applyProtection="1">
      <alignment horizontal="justify" vertical="center" wrapText="1"/>
      <protection locked="0"/>
    </xf>
    <xf numFmtId="42" fontId="2" fillId="0" borderId="18" xfId="1" applyFont="1" applyFill="1" applyBorder="1" applyAlignment="1" applyProtection="1">
      <alignment horizontal="justify" vertical="center"/>
      <protection locked="0"/>
    </xf>
    <xf numFmtId="42" fontId="2" fillId="0" borderId="12" xfId="1" applyFont="1" applyFill="1" applyBorder="1" applyAlignment="1" applyProtection="1">
      <alignment horizontal="justify" vertical="center" wrapText="1"/>
      <protection locked="0"/>
    </xf>
    <xf numFmtId="42" fontId="2" fillId="0" borderId="18" xfId="1" applyFont="1" applyFill="1" applyBorder="1" applyAlignment="1" applyProtection="1">
      <alignment horizontal="justify" vertical="center" wrapText="1"/>
      <protection locked="0"/>
    </xf>
    <xf numFmtId="42" fontId="2" fillId="0" borderId="0" xfId="1" applyFont="1" applyFill="1" applyBorder="1" applyAlignment="1" applyProtection="1">
      <alignment horizontal="justify" vertical="center" wrapText="1"/>
      <protection locked="0"/>
    </xf>
    <xf numFmtId="42" fontId="2" fillId="0" borderId="28" xfId="1" applyFont="1" applyFill="1" applyBorder="1" applyAlignment="1" applyProtection="1">
      <alignment horizontal="justify" vertical="center" wrapText="1"/>
      <protection locked="0"/>
    </xf>
    <xf numFmtId="164" fontId="2" fillId="2" borderId="7" xfId="3" applyNumberFormat="1" applyFont="1" applyFill="1" applyBorder="1" applyAlignment="1" applyProtection="1">
      <alignment horizontal="center" vertical="center" wrapText="1"/>
      <protection locked="0"/>
    </xf>
    <xf numFmtId="42" fontId="8" fillId="5" borderId="23" xfId="1" applyFont="1" applyFill="1" applyBorder="1" applyAlignment="1" applyProtection="1">
      <alignment horizontal="center" vertical="center" wrapText="1"/>
      <protection locked="0"/>
    </xf>
    <xf numFmtId="164" fontId="9" fillId="6" borderId="23" xfId="4" applyNumberFormat="1" applyFont="1" applyFill="1" applyBorder="1" applyAlignment="1" applyProtection="1">
      <alignment horizontal="center" vertical="center" wrapText="1"/>
      <protection locked="0"/>
    </xf>
    <xf numFmtId="42" fontId="9" fillId="6" borderId="23" xfId="1" applyFont="1" applyFill="1" applyBorder="1" applyAlignment="1" applyProtection="1">
      <alignment horizontal="center" vertical="center" wrapText="1"/>
      <protection locked="0"/>
    </xf>
    <xf numFmtId="49" fontId="2" fillId="2" borderId="12" xfId="3" applyNumberFormat="1" applyFont="1" applyFill="1" applyBorder="1" applyAlignment="1" applyProtection="1">
      <alignment horizontal="center" vertical="center" wrapText="1"/>
      <protection locked="0"/>
    </xf>
    <xf numFmtId="42" fontId="12" fillId="0" borderId="0" xfId="0" applyNumberFormat="1" applyFont="1" applyBorder="1"/>
    <xf numFmtId="0" fontId="12" fillId="0" borderId="0" xfId="0" applyFont="1" applyBorder="1"/>
    <xf numFmtId="37" fontId="15" fillId="0" borderId="33" xfId="2" applyFont="1" applyFill="1" applyBorder="1" applyAlignment="1" applyProtection="1">
      <alignment horizontal="justify" vertical="center" wrapText="1"/>
      <protection locked="0"/>
    </xf>
    <xf numFmtId="42" fontId="12" fillId="0" borderId="34" xfId="0" applyNumberFormat="1" applyFont="1" applyBorder="1"/>
    <xf numFmtId="37" fontId="15" fillId="0" borderId="36" xfId="2" applyFont="1" applyFill="1" applyBorder="1" applyAlignment="1" applyProtection="1">
      <alignment wrapText="1"/>
      <protection locked="0"/>
    </xf>
    <xf numFmtId="37" fontId="15" fillId="0" borderId="38" xfId="2" applyFont="1" applyFill="1" applyBorder="1" applyAlignment="1" applyProtection="1">
      <alignment wrapText="1"/>
      <protection locked="0"/>
    </xf>
    <xf numFmtId="0" fontId="12" fillId="0" borderId="39" xfId="0" applyFont="1" applyBorder="1"/>
    <xf numFmtId="49" fontId="15" fillId="2" borderId="33" xfId="3" applyNumberFormat="1" applyFont="1" applyFill="1" applyBorder="1" applyAlignment="1" applyProtection="1">
      <alignment horizontal="center" vertical="center" wrapText="1"/>
      <protection locked="0"/>
    </xf>
    <xf numFmtId="49" fontId="15" fillId="2" borderId="36" xfId="3" applyNumberFormat="1" applyFont="1" applyFill="1" applyBorder="1" applyAlignment="1" applyProtection="1">
      <alignment horizontal="center" vertical="center" wrapText="1"/>
      <protection locked="0"/>
    </xf>
    <xf numFmtId="0" fontId="12" fillId="0" borderId="37" xfId="0" applyFont="1" applyBorder="1"/>
    <xf numFmtId="49" fontId="15" fillId="2" borderId="38" xfId="3" applyNumberFormat="1" applyFont="1" applyFill="1" applyBorder="1" applyAlignment="1" applyProtection="1">
      <alignment horizontal="center" vertical="center" wrapText="1"/>
      <protection locked="0"/>
    </xf>
    <xf numFmtId="0" fontId="12" fillId="0" borderId="40" xfId="0" applyFont="1" applyBorder="1"/>
    <xf numFmtId="42" fontId="12" fillId="0" borderId="33" xfId="0" applyNumberFormat="1" applyFont="1" applyBorder="1"/>
    <xf numFmtId="164" fontId="15" fillId="2" borderId="35" xfId="3" applyNumberFormat="1" applyFont="1" applyFill="1" applyBorder="1" applyAlignment="1" applyProtection="1">
      <alignment horizontal="center" wrapText="1"/>
      <protection locked="0"/>
    </xf>
    <xf numFmtId="42" fontId="12" fillId="0" borderId="36" xfId="0" applyNumberFormat="1" applyFont="1" applyBorder="1"/>
    <xf numFmtId="164" fontId="15" fillId="2" borderId="37" xfId="3" applyNumberFormat="1" applyFont="1" applyFill="1" applyBorder="1" applyAlignment="1" applyProtection="1">
      <alignment horizontal="center" wrapText="1"/>
      <protection locked="0"/>
    </xf>
    <xf numFmtId="42" fontId="12" fillId="0" borderId="38" xfId="0" applyNumberFormat="1" applyFont="1" applyBorder="1"/>
    <xf numFmtId="164" fontId="15" fillId="2" borderId="33" xfId="3" applyNumberFormat="1" applyFont="1" applyFill="1" applyBorder="1" applyAlignment="1" applyProtection="1">
      <alignment horizontal="center" vertical="center" wrapText="1"/>
      <protection locked="0"/>
    </xf>
    <xf numFmtId="164" fontId="15" fillId="2" borderId="36" xfId="3" applyNumberFormat="1" applyFont="1" applyFill="1" applyBorder="1" applyAlignment="1" applyProtection="1">
      <alignment horizontal="center" wrapText="1"/>
      <protection locked="0"/>
    </xf>
    <xf numFmtId="164" fontId="15" fillId="2" borderId="38" xfId="3" applyNumberFormat="1" applyFont="1" applyFill="1" applyBorder="1" applyAlignment="1" applyProtection="1">
      <alignment horizontal="center" wrapText="1"/>
      <protection locked="0"/>
    </xf>
    <xf numFmtId="37" fontId="15" fillId="0" borderId="41" xfId="2" applyFont="1" applyFill="1" applyBorder="1" applyAlignment="1" applyProtection="1">
      <alignment wrapText="1"/>
      <protection locked="0"/>
    </xf>
    <xf numFmtId="37" fontId="15" fillId="0" borderId="42" xfId="2" applyFont="1" applyFill="1" applyBorder="1" applyAlignment="1" applyProtection="1">
      <alignment wrapText="1"/>
      <protection locked="0"/>
    </xf>
    <xf numFmtId="0" fontId="12" fillId="0" borderId="42" xfId="0" applyFont="1" applyBorder="1"/>
    <xf numFmtId="0" fontId="12" fillId="0" borderId="43" xfId="0" applyFont="1" applyBorder="1"/>
    <xf numFmtId="42" fontId="12" fillId="0" borderId="41" xfId="0" applyNumberFormat="1" applyFont="1" applyBorder="1"/>
    <xf numFmtId="42" fontId="12" fillId="0" borderId="42" xfId="0" applyNumberFormat="1" applyFont="1" applyBorder="1"/>
    <xf numFmtId="42" fontId="12" fillId="0" borderId="43" xfId="0" applyNumberFormat="1" applyFont="1" applyBorder="1"/>
    <xf numFmtId="42" fontId="14" fillId="8" borderId="32" xfId="0" applyNumberFormat="1" applyFont="1" applyFill="1" applyBorder="1"/>
    <xf numFmtId="49" fontId="14" fillId="8" borderId="39" xfId="0" applyNumberFormat="1" applyFont="1" applyFill="1" applyBorder="1" applyAlignment="1">
      <alignment horizontal="center"/>
    </xf>
    <xf numFmtId="0" fontId="14" fillId="7" borderId="32" xfId="0" applyFont="1" applyFill="1" applyBorder="1" applyAlignment="1">
      <alignment horizontal="center" vertical="center" wrapText="1"/>
    </xf>
    <xf numFmtId="0" fontId="16" fillId="9" borderId="51" xfId="0" applyFont="1" applyFill="1" applyBorder="1" applyAlignment="1">
      <alignment horizontal="center" vertical="center" wrapText="1"/>
    </xf>
    <xf numFmtId="0" fontId="16" fillId="9" borderId="52" xfId="0" applyFont="1" applyFill="1" applyBorder="1" applyAlignment="1">
      <alignment horizontal="center" vertical="center" wrapText="1"/>
    </xf>
    <xf numFmtId="49" fontId="16" fillId="9" borderId="52" xfId="0" applyNumberFormat="1" applyFont="1" applyFill="1" applyBorder="1" applyAlignment="1">
      <alignment horizontal="center" vertical="center" wrapText="1"/>
    </xf>
    <xf numFmtId="3" fontId="16" fillId="9" borderId="52" xfId="0" applyNumberFormat="1" applyFont="1" applyFill="1" applyBorder="1" applyAlignment="1">
      <alignment horizontal="center" vertical="center" wrapText="1"/>
    </xf>
    <xf numFmtId="3" fontId="16" fillId="9" borderId="52" xfId="0" applyNumberFormat="1" applyFont="1" applyFill="1" applyBorder="1" applyAlignment="1">
      <alignment horizontal="center" vertical="center"/>
    </xf>
    <xf numFmtId="37" fontId="18" fillId="0" borderId="53" xfId="5" applyFont="1" applyBorder="1" applyAlignment="1">
      <alignment horizontal="center" vertical="center" wrapText="1"/>
    </xf>
    <xf numFmtId="49" fontId="18" fillId="0" borderId="53" xfId="5" applyNumberFormat="1" applyFont="1" applyBorder="1" applyAlignment="1">
      <alignment horizontal="center" vertical="center" wrapText="1"/>
    </xf>
    <xf numFmtId="37" fontId="18" fillId="0" borderId="53" xfId="5" applyFont="1" applyBorder="1" applyAlignment="1">
      <alignment horizontal="center" vertical="center"/>
    </xf>
    <xf numFmtId="3" fontId="18" fillId="10" borderId="53" xfId="5" applyNumberFormat="1" applyFont="1" applyFill="1" applyBorder="1" applyAlignment="1">
      <alignment horizontal="center" vertical="center" wrapText="1"/>
    </xf>
    <xf numFmtId="49" fontId="18" fillId="10" borderId="53" xfId="5" applyNumberFormat="1" applyFont="1" applyFill="1" applyBorder="1" applyAlignment="1">
      <alignment horizontal="center" vertical="center" wrapText="1"/>
    </xf>
    <xf numFmtId="0" fontId="18" fillId="10" borderId="53" xfId="0" applyFont="1" applyFill="1" applyBorder="1" applyAlignment="1">
      <alignment horizontal="center" vertical="center" wrapText="1"/>
    </xf>
    <xf numFmtId="0" fontId="18" fillId="10" borderId="53" xfId="0" applyFont="1" applyFill="1" applyBorder="1" applyAlignment="1">
      <alignment horizontal="center" vertical="center"/>
    </xf>
    <xf numFmtId="37" fontId="18" fillId="0" borderId="54" xfId="0" applyNumberFormat="1" applyFont="1" applyBorder="1" applyAlignment="1">
      <alignment horizontal="center" vertical="center" wrapText="1"/>
    </xf>
    <xf numFmtId="37" fontId="18" fillId="0" borderId="55" xfId="0" applyNumberFormat="1" applyFont="1" applyBorder="1" applyAlignment="1">
      <alignment horizontal="center" vertical="center" wrapText="1"/>
    </xf>
    <xf numFmtId="49" fontId="18" fillId="0" borderId="55" xfId="0" applyNumberFormat="1" applyFont="1" applyBorder="1" applyAlignment="1">
      <alignment horizontal="center" vertical="center" wrapText="1"/>
    </xf>
    <xf numFmtId="37" fontId="18" fillId="0" borderId="55" xfId="0" applyNumberFormat="1" applyFont="1" applyBorder="1" applyAlignment="1">
      <alignment horizontal="center" vertical="center"/>
    </xf>
    <xf numFmtId="37" fontId="18" fillId="2" borderId="55" xfId="0" applyNumberFormat="1" applyFont="1" applyFill="1" applyBorder="1" applyAlignment="1">
      <alignment horizontal="center" vertical="center" wrapText="1"/>
    </xf>
    <xf numFmtId="0" fontId="19" fillId="0" borderId="0" xfId="0" applyFont="1"/>
    <xf numFmtId="0" fontId="19" fillId="0" borderId="0" xfId="0" applyFont="1" applyAlignment="1">
      <alignment wrapText="1"/>
    </xf>
    <xf numFmtId="37" fontId="8" fillId="0" borderId="0" xfId="2" applyFont="1" applyFill="1" applyBorder="1" applyAlignment="1" applyProtection="1">
      <alignment horizontal="center" vertical="center"/>
      <protection locked="0"/>
    </xf>
    <xf numFmtId="37" fontId="10" fillId="0" borderId="0" xfId="2" applyFont="1" applyFill="1" applyBorder="1" applyAlignment="1" applyProtection="1">
      <alignment vertical="center"/>
      <protection locked="0"/>
    </xf>
    <xf numFmtId="37" fontId="10" fillId="0" borderId="0" xfId="2" applyFont="1" applyFill="1" applyBorder="1" applyAlignment="1" applyProtection="1">
      <alignment horizontal="left" vertical="center"/>
      <protection locked="0"/>
    </xf>
    <xf numFmtId="49" fontId="10" fillId="0" borderId="0" xfId="2" applyNumberFormat="1" applyFont="1" applyFill="1" applyBorder="1" applyAlignment="1" applyProtection="1">
      <alignment horizontal="left" vertical="center"/>
      <protection locked="0"/>
    </xf>
    <xf numFmtId="0" fontId="9" fillId="3" borderId="4"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11" fillId="0" borderId="31" xfId="0" applyFont="1" applyBorder="1" applyAlignment="1">
      <alignment horizontal="justify" vertical="top" wrapText="1"/>
    </xf>
    <xf numFmtId="0" fontId="11" fillId="0" borderId="0" xfId="0" applyFont="1" applyAlignment="1">
      <alignment horizontal="justify" vertical="top" wrapText="1"/>
    </xf>
    <xf numFmtId="0" fontId="13" fillId="7" borderId="46" xfId="0" applyFont="1" applyFill="1" applyBorder="1" applyAlignment="1">
      <alignment horizontal="center"/>
    </xf>
    <xf numFmtId="0" fontId="13" fillId="7" borderId="47" xfId="0" applyFont="1" applyFill="1" applyBorder="1" applyAlignment="1">
      <alignment horizontal="center"/>
    </xf>
    <xf numFmtId="0" fontId="13" fillId="7" borderId="48" xfId="0" applyFont="1" applyFill="1" applyBorder="1" applyAlignment="1">
      <alignment horizontal="center"/>
    </xf>
    <xf numFmtId="0" fontId="13" fillId="7" borderId="49" xfId="0" applyFont="1" applyFill="1" applyBorder="1" applyAlignment="1">
      <alignment horizontal="center" vertical="center" wrapText="1"/>
    </xf>
    <xf numFmtId="0" fontId="13" fillId="7" borderId="50" xfId="0" applyFont="1" applyFill="1" applyBorder="1" applyAlignment="1">
      <alignment horizontal="center" vertical="center" wrapText="1"/>
    </xf>
    <xf numFmtId="0" fontId="14" fillId="8" borderId="44" xfId="0" applyFont="1" applyFill="1" applyBorder="1" applyAlignment="1">
      <alignment horizontal="center"/>
    </xf>
    <xf numFmtId="0" fontId="14" fillId="8" borderId="45" xfId="0" applyFont="1" applyFill="1" applyBorder="1" applyAlignment="1">
      <alignment horizontal="center"/>
    </xf>
  </cellXfs>
  <cellStyles count="6">
    <cellStyle name="Moneda [0]" xfId="1" builtinId="7"/>
    <cellStyle name="Normal" xfId="0" builtinId="0"/>
    <cellStyle name="Normal 2 2" xfId="4" xr:uid="{FD41CF0E-0880-2B4F-A964-C460F84E1F21}"/>
    <cellStyle name="Normal 3" xfId="2" xr:uid="{A6ABC828-BA39-BF41-8E2B-E9418D05E060}"/>
    <cellStyle name="Normal_FORMATO" xfId="3" xr:uid="{111B0DA0-DD9F-564F-AEA0-9CB5DCCD6576}"/>
    <cellStyle name="Normal_PRESU98" xfId="5" xr:uid="{D3E276AB-0A06-EA49-9BF5-DDDF82D0445D}"/>
  </cellStyles>
  <dxfs count="0"/>
  <tableStyles count="0" defaultTableStyle="TableStyleMedium2" defaultPivotStyle="PivotStyleLight16"/>
  <colors>
    <mruColors>
      <color rgb="FF7E0205"/>
      <color rgb="FF7300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3EF5-CD3C-1440-8C7D-6F424E08ED59}">
  <dimension ref="A1:AY39"/>
  <sheetViews>
    <sheetView tabSelected="1" workbookViewId="0">
      <selection activeCell="A17" sqref="A17:D18"/>
    </sheetView>
  </sheetViews>
  <sheetFormatPr baseColWidth="10" defaultRowHeight="16" x14ac:dyDescent="0.2"/>
  <cols>
    <col min="1" max="1" width="58" customWidth="1"/>
    <col min="2" max="3" width="11.1640625" bestFit="1" customWidth="1"/>
    <col min="4" max="4" width="16.33203125" bestFit="1" customWidth="1"/>
    <col min="5" max="5" width="24" customWidth="1"/>
    <col min="6" max="7" width="16.33203125" bestFit="1" customWidth="1"/>
    <col min="8" max="9" width="15.1640625" bestFit="1" customWidth="1"/>
    <col min="10" max="11" width="17.83203125" bestFit="1" customWidth="1"/>
    <col min="12" max="12" width="16.33203125" bestFit="1" customWidth="1"/>
    <col min="13" max="14" width="17.83203125" bestFit="1" customWidth="1"/>
    <col min="15" max="15" width="11.1640625" bestFit="1" customWidth="1"/>
    <col min="16" max="16" width="18.83203125" bestFit="1" customWidth="1"/>
    <col min="17" max="21" width="11.1640625" bestFit="1" customWidth="1"/>
    <col min="22" max="22" width="18.83203125" bestFit="1" customWidth="1"/>
    <col min="23" max="23" width="17.83203125" bestFit="1" customWidth="1"/>
    <col min="24" max="25" width="16.33203125" bestFit="1" customWidth="1"/>
    <col min="26" max="26" width="17.83203125" bestFit="1" customWidth="1"/>
    <col min="27" max="31" width="11.1640625" bestFit="1" customWidth="1"/>
    <col min="32" max="36" width="17.83203125" bestFit="1" customWidth="1"/>
    <col min="37" max="37" width="16.33203125" bestFit="1" customWidth="1"/>
    <col min="38" max="38" width="17.83203125" bestFit="1" customWidth="1"/>
    <col min="39" max="41" width="16.33203125" bestFit="1" customWidth="1"/>
    <col min="42" max="42" width="11.1640625" bestFit="1" customWidth="1"/>
    <col min="43" max="43" width="18.83203125" bestFit="1" customWidth="1"/>
    <col min="44" max="46" width="16.33203125" bestFit="1" customWidth="1"/>
    <col min="47" max="47" width="19.6640625" customWidth="1"/>
    <col min="51" max="51" width="19.6640625" bestFit="1" customWidth="1"/>
  </cols>
  <sheetData>
    <row r="1" spans="1:47" ht="15" customHeight="1" x14ac:dyDescent="0.2">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row>
    <row r="2" spans="1:47" ht="15" customHeight="1" x14ac:dyDescent="0.2">
      <c r="A2" s="45" t="s">
        <v>64</v>
      </c>
      <c r="B2" s="113" t="s">
        <v>67</v>
      </c>
      <c r="C2" s="113"/>
      <c r="D2" s="113"/>
      <c r="E2" s="113"/>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row>
    <row r="3" spans="1:47" ht="15" customHeight="1" x14ac:dyDescent="0.2">
      <c r="A3" s="45" t="s">
        <v>65</v>
      </c>
      <c r="B3" s="114" t="s">
        <v>68</v>
      </c>
      <c r="C3" s="114"/>
      <c r="D3" s="114"/>
      <c r="E3" s="114"/>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row>
    <row r="4" spans="1:47" ht="15" customHeight="1" x14ac:dyDescent="0.2">
      <c r="A4" s="45" t="s">
        <v>66</v>
      </c>
      <c r="B4" s="115">
        <v>2021</v>
      </c>
      <c r="C4" s="115"/>
      <c r="D4" s="115"/>
      <c r="E4" s="115"/>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row>
    <row r="5" spans="1:47" ht="15" customHeight="1" thickBot="1" x14ac:dyDescent="0.25">
      <c r="A5" s="2"/>
      <c r="B5" s="2"/>
      <c r="C5" s="2"/>
      <c r="D5" s="2"/>
      <c r="E5" s="2"/>
      <c r="F5" s="2"/>
      <c r="G5" s="2"/>
      <c r="H5" s="2"/>
      <c r="I5" s="2"/>
      <c r="J5" s="2"/>
      <c r="K5" s="2"/>
      <c r="L5" s="2"/>
      <c r="M5" s="2"/>
      <c r="N5" s="2"/>
      <c r="O5" s="2"/>
      <c r="P5" s="2"/>
      <c r="Q5" s="2"/>
      <c r="R5" s="2"/>
      <c r="S5" s="2"/>
      <c r="T5" s="2"/>
      <c r="U5" s="2"/>
      <c r="V5" s="2"/>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thickTop="1" x14ac:dyDescent="0.2">
      <c r="A6" s="116" t="s">
        <v>0</v>
      </c>
      <c r="B6" s="118" t="s">
        <v>1</v>
      </c>
      <c r="C6" s="120" t="s">
        <v>2</v>
      </c>
      <c r="D6" s="119" t="s">
        <v>3</v>
      </c>
      <c r="E6" s="122"/>
      <c r="F6" s="122"/>
      <c r="G6" s="122"/>
      <c r="H6" s="122"/>
      <c r="I6" s="122"/>
      <c r="J6" s="122"/>
      <c r="K6" s="122"/>
      <c r="L6" s="122"/>
      <c r="M6" s="122"/>
      <c r="N6" s="122"/>
      <c r="O6" s="122"/>
      <c r="P6" s="122"/>
      <c r="Q6" s="123"/>
      <c r="R6" s="123"/>
      <c r="S6" s="123"/>
      <c r="T6" s="123"/>
      <c r="U6" s="123"/>
      <c r="V6" s="124"/>
      <c r="W6" s="125" t="s">
        <v>4</v>
      </c>
      <c r="X6" s="126"/>
      <c r="Y6" s="126"/>
      <c r="Z6" s="126"/>
      <c r="AA6" s="126"/>
      <c r="AB6" s="126"/>
      <c r="AC6" s="126"/>
      <c r="AD6" s="126"/>
      <c r="AE6" s="126"/>
      <c r="AF6" s="127"/>
      <c r="AG6" s="125" t="s">
        <v>5</v>
      </c>
      <c r="AH6" s="126"/>
      <c r="AI6" s="126"/>
      <c r="AJ6" s="126"/>
      <c r="AK6" s="126"/>
      <c r="AL6" s="126"/>
      <c r="AM6" s="126"/>
      <c r="AN6" s="126"/>
      <c r="AO6" s="126"/>
      <c r="AP6" s="126"/>
      <c r="AQ6" s="127"/>
      <c r="AR6" s="119" t="s">
        <v>6</v>
      </c>
      <c r="AS6" s="122"/>
      <c r="AT6" s="117"/>
      <c r="AU6" s="128" t="s">
        <v>7</v>
      </c>
    </row>
    <row r="7" spans="1:47" ht="15" customHeight="1" x14ac:dyDescent="0.2">
      <c r="A7" s="117"/>
      <c r="B7" s="119"/>
      <c r="C7" s="119"/>
      <c r="D7" s="130" t="s">
        <v>8</v>
      </c>
      <c r="E7" s="131"/>
      <c r="F7" s="131"/>
      <c r="G7" s="131"/>
      <c r="H7" s="131"/>
      <c r="I7" s="131"/>
      <c r="J7" s="131"/>
      <c r="K7" s="131"/>
      <c r="L7" s="131"/>
      <c r="M7" s="131"/>
      <c r="N7" s="131"/>
      <c r="O7" s="131"/>
      <c r="P7" s="132"/>
      <c r="Q7" s="130" t="s">
        <v>9</v>
      </c>
      <c r="R7" s="131"/>
      <c r="S7" s="131"/>
      <c r="T7" s="131"/>
      <c r="U7" s="132"/>
      <c r="V7" s="133" t="s">
        <v>10</v>
      </c>
      <c r="W7" s="130" t="s">
        <v>11</v>
      </c>
      <c r="X7" s="131"/>
      <c r="Y7" s="131"/>
      <c r="Z7" s="132"/>
      <c r="AA7" s="130" t="s">
        <v>12</v>
      </c>
      <c r="AB7" s="131"/>
      <c r="AC7" s="131"/>
      <c r="AD7" s="131"/>
      <c r="AE7" s="132"/>
      <c r="AF7" s="133" t="s">
        <v>10</v>
      </c>
      <c r="AG7" s="121" t="s">
        <v>13</v>
      </c>
      <c r="AH7" s="121" t="s">
        <v>14</v>
      </c>
      <c r="AI7" s="121" t="s">
        <v>15</v>
      </c>
      <c r="AJ7" s="121" t="s">
        <v>16</v>
      </c>
      <c r="AK7" s="121" t="s">
        <v>17</v>
      </c>
      <c r="AL7" s="121" t="s">
        <v>18</v>
      </c>
      <c r="AM7" s="121" t="s">
        <v>19</v>
      </c>
      <c r="AN7" s="121" t="s">
        <v>20</v>
      </c>
      <c r="AO7" s="121" t="s">
        <v>21</v>
      </c>
      <c r="AP7" s="121" t="s">
        <v>22</v>
      </c>
      <c r="AQ7" s="121" t="s">
        <v>10</v>
      </c>
      <c r="AR7" s="134" t="s">
        <v>23</v>
      </c>
      <c r="AS7" s="134" t="s">
        <v>24</v>
      </c>
      <c r="AT7" s="134" t="s">
        <v>25</v>
      </c>
      <c r="AU7" s="129"/>
    </row>
    <row r="8" spans="1:47" ht="15" customHeight="1" x14ac:dyDescent="0.2">
      <c r="A8" s="117"/>
      <c r="B8" s="119"/>
      <c r="C8" s="121"/>
      <c r="D8" s="130" t="s">
        <v>26</v>
      </c>
      <c r="E8" s="132"/>
      <c r="F8" s="133" t="s">
        <v>27</v>
      </c>
      <c r="G8" s="133" t="s">
        <v>28</v>
      </c>
      <c r="H8" s="133" t="s">
        <v>29</v>
      </c>
      <c r="I8" s="133" t="s">
        <v>30</v>
      </c>
      <c r="J8" s="133" t="s">
        <v>31</v>
      </c>
      <c r="K8" s="133" t="s">
        <v>32</v>
      </c>
      <c r="L8" s="133" t="s">
        <v>33</v>
      </c>
      <c r="M8" s="133" t="s">
        <v>34</v>
      </c>
      <c r="N8" s="133" t="s">
        <v>35</v>
      </c>
      <c r="O8" s="133" t="s">
        <v>36</v>
      </c>
      <c r="P8" s="133" t="s">
        <v>37</v>
      </c>
      <c r="Q8" s="133" t="s">
        <v>38</v>
      </c>
      <c r="R8" s="133" t="s">
        <v>39</v>
      </c>
      <c r="S8" s="133" t="s">
        <v>40</v>
      </c>
      <c r="T8" s="133" t="s">
        <v>41</v>
      </c>
      <c r="U8" s="133" t="s">
        <v>42</v>
      </c>
      <c r="V8" s="121"/>
      <c r="W8" s="133" t="s">
        <v>43</v>
      </c>
      <c r="X8" s="133" t="s">
        <v>44</v>
      </c>
      <c r="Y8" s="133" t="s">
        <v>45</v>
      </c>
      <c r="Z8" s="133" t="s">
        <v>37</v>
      </c>
      <c r="AA8" s="133" t="s">
        <v>46</v>
      </c>
      <c r="AB8" s="133" t="s">
        <v>47</v>
      </c>
      <c r="AC8" s="133" t="s">
        <v>48</v>
      </c>
      <c r="AD8" s="133" t="s">
        <v>49</v>
      </c>
      <c r="AE8" s="133" t="s">
        <v>42</v>
      </c>
      <c r="AF8" s="121"/>
      <c r="AG8" s="121"/>
      <c r="AH8" s="121"/>
      <c r="AI8" s="121"/>
      <c r="AJ8" s="121"/>
      <c r="AK8" s="121"/>
      <c r="AL8" s="121"/>
      <c r="AM8" s="121"/>
      <c r="AN8" s="121"/>
      <c r="AO8" s="121" t="s">
        <v>50</v>
      </c>
      <c r="AP8" s="121" t="s">
        <v>50</v>
      </c>
      <c r="AQ8" s="121" t="s">
        <v>50</v>
      </c>
      <c r="AR8" s="134"/>
      <c r="AS8" s="134"/>
      <c r="AT8" s="134"/>
      <c r="AU8" s="129"/>
    </row>
    <row r="9" spans="1:47" ht="17" customHeight="1" x14ac:dyDescent="0.2">
      <c r="A9" s="117"/>
      <c r="B9" s="119"/>
      <c r="C9" s="121"/>
      <c r="D9" s="133" t="s">
        <v>62</v>
      </c>
      <c r="E9" s="41" t="s">
        <v>51</v>
      </c>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t="s">
        <v>52</v>
      </c>
      <c r="AP9" s="121" t="s">
        <v>52</v>
      </c>
      <c r="AQ9" s="121" t="s">
        <v>52</v>
      </c>
      <c r="AR9" s="134"/>
      <c r="AS9" s="134"/>
      <c r="AT9" s="134"/>
      <c r="AU9" s="129"/>
    </row>
    <row r="10" spans="1:47" ht="15" customHeight="1" thickBot="1" x14ac:dyDescent="0.25">
      <c r="A10" s="42">
        <v>1</v>
      </c>
      <c r="B10" s="5">
        <v>2</v>
      </c>
      <c r="C10" s="6">
        <v>3</v>
      </c>
      <c r="D10" s="135"/>
      <c r="E10" s="42">
        <v>4.0999999999999996</v>
      </c>
      <c r="F10" s="42">
        <v>4.2</v>
      </c>
      <c r="G10" s="42">
        <v>4.3</v>
      </c>
      <c r="H10" s="42">
        <v>4.4000000000000004</v>
      </c>
      <c r="I10" s="42">
        <v>4.5</v>
      </c>
      <c r="J10" s="42">
        <v>4.5999999999999996</v>
      </c>
      <c r="K10" s="42">
        <v>4.7</v>
      </c>
      <c r="L10" s="42">
        <v>4.8</v>
      </c>
      <c r="M10" s="42">
        <v>4.9000000000000004</v>
      </c>
      <c r="N10" s="7">
        <v>4.0999999999999996</v>
      </c>
      <c r="O10" s="42">
        <v>4.1100000000000003</v>
      </c>
      <c r="P10" s="42">
        <v>4</v>
      </c>
      <c r="Q10" s="6">
        <v>5.0999999999999996</v>
      </c>
      <c r="R10" s="42">
        <v>5.2</v>
      </c>
      <c r="S10" s="42">
        <v>5.3</v>
      </c>
      <c r="T10" s="42">
        <v>5.4</v>
      </c>
      <c r="U10" s="42">
        <v>5</v>
      </c>
      <c r="V10" s="42" t="s">
        <v>53</v>
      </c>
      <c r="W10" s="42">
        <v>7.1</v>
      </c>
      <c r="X10" s="42">
        <v>7.2</v>
      </c>
      <c r="Y10" s="42">
        <v>7.3</v>
      </c>
      <c r="Z10" s="42">
        <v>7</v>
      </c>
      <c r="AA10" s="42">
        <v>8.1</v>
      </c>
      <c r="AB10" s="42">
        <v>8.1999999999999993</v>
      </c>
      <c r="AC10" s="42">
        <v>8.3000000000000007</v>
      </c>
      <c r="AD10" s="42">
        <v>8.4</v>
      </c>
      <c r="AE10" s="42">
        <v>8</v>
      </c>
      <c r="AF10" s="42" t="s">
        <v>54</v>
      </c>
      <c r="AG10" s="42">
        <v>10.1</v>
      </c>
      <c r="AH10" s="42">
        <v>10.199999999999999</v>
      </c>
      <c r="AI10" s="42">
        <v>10.3</v>
      </c>
      <c r="AJ10" s="42">
        <v>10.4</v>
      </c>
      <c r="AK10" s="42">
        <v>10.5</v>
      </c>
      <c r="AL10" s="42">
        <v>10.6</v>
      </c>
      <c r="AM10" s="42">
        <v>10.7</v>
      </c>
      <c r="AN10" s="42">
        <v>10.8</v>
      </c>
      <c r="AO10" s="42">
        <v>10.9</v>
      </c>
      <c r="AP10" s="7">
        <v>10.1</v>
      </c>
      <c r="AQ10" s="42">
        <v>10</v>
      </c>
      <c r="AR10" s="43">
        <v>11.1</v>
      </c>
      <c r="AS10" s="43">
        <v>11.2</v>
      </c>
      <c r="AT10" s="43" t="s">
        <v>55</v>
      </c>
      <c r="AU10" s="9" t="s">
        <v>56</v>
      </c>
    </row>
    <row r="11" spans="1:47" ht="15" customHeight="1" thickTop="1" thickBot="1" x14ac:dyDescent="0.25">
      <c r="A11" s="10" t="s">
        <v>57</v>
      </c>
      <c r="B11" s="11"/>
      <c r="C11" s="12"/>
      <c r="D11" s="13"/>
      <c r="E11" s="13"/>
      <c r="F11" s="13"/>
      <c r="G11" s="13"/>
      <c r="H11" s="13"/>
      <c r="I11" s="14"/>
      <c r="J11" s="14"/>
      <c r="K11" s="14"/>
      <c r="L11" s="15"/>
      <c r="M11" s="13"/>
      <c r="N11" s="13"/>
      <c r="O11" s="13"/>
      <c r="P11" s="13"/>
      <c r="Q11" s="13"/>
      <c r="R11" s="13"/>
      <c r="S11" s="14"/>
      <c r="T11" s="14"/>
      <c r="U11" s="15"/>
      <c r="V11" s="14"/>
      <c r="W11" s="14"/>
      <c r="X11" s="15"/>
      <c r="Y11" s="13"/>
      <c r="Z11" s="13"/>
      <c r="AA11" s="13"/>
      <c r="AB11" s="13"/>
      <c r="AC11" s="13"/>
      <c r="AD11" s="13"/>
      <c r="AE11" s="13"/>
      <c r="AF11" s="13"/>
      <c r="AG11" s="13"/>
      <c r="AH11" s="13"/>
      <c r="AI11" s="13"/>
      <c r="AJ11" s="13"/>
      <c r="AK11" s="13"/>
      <c r="AL11" s="13"/>
      <c r="AM11" s="14"/>
      <c r="AN11" s="14"/>
      <c r="AO11" s="15"/>
      <c r="AP11" s="14"/>
      <c r="AQ11" s="15"/>
      <c r="AR11" s="16"/>
      <c r="AS11" s="16"/>
      <c r="AT11" s="16"/>
      <c r="AU11" s="15"/>
    </row>
    <row r="12" spans="1:47" ht="15" customHeight="1" thickTop="1" thickBot="1" x14ac:dyDescent="0.25">
      <c r="A12" s="32" t="s">
        <v>58</v>
      </c>
      <c r="B12" s="32"/>
      <c r="C12" s="36">
        <f t="shared" ref="C12:AU12" si="0">SUM(C13:C14)</f>
        <v>2</v>
      </c>
      <c r="D12" s="33">
        <f t="shared" si="0"/>
        <v>16137050</v>
      </c>
      <c r="E12" s="33">
        <f t="shared" si="0"/>
        <v>193644600</v>
      </c>
      <c r="F12" s="33">
        <f t="shared" si="0"/>
        <v>0</v>
      </c>
      <c r="G12" s="33">
        <f t="shared" si="0"/>
        <v>96822300</v>
      </c>
      <c r="H12" s="33">
        <f t="shared" si="0"/>
        <v>0</v>
      </c>
      <c r="I12" s="33">
        <f t="shared" si="0"/>
        <v>0</v>
      </c>
      <c r="J12" s="33">
        <f t="shared" si="0"/>
        <v>8097941.497395833</v>
      </c>
      <c r="K12" s="33">
        <f t="shared" si="0"/>
        <v>8471951.25</v>
      </c>
      <c r="L12" s="33">
        <f t="shared" si="0"/>
        <v>0</v>
      </c>
      <c r="M12" s="33">
        <f t="shared" si="0"/>
        <v>26710033.720251013</v>
      </c>
      <c r="N12" s="33">
        <f t="shared" si="0"/>
        <v>13483611.895616319</v>
      </c>
      <c r="O12" s="33">
        <f t="shared" si="0"/>
        <v>0</v>
      </c>
      <c r="P12" s="33">
        <f t="shared" si="0"/>
        <v>347230438.36326313</v>
      </c>
      <c r="Q12" s="33">
        <f t="shared" si="0"/>
        <v>0</v>
      </c>
      <c r="R12" s="33">
        <f t="shared" si="0"/>
        <v>0</v>
      </c>
      <c r="S12" s="33">
        <f t="shared" si="0"/>
        <v>0</v>
      </c>
      <c r="T12" s="33">
        <f t="shared" si="0"/>
        <v>0</v>
      </c>
      <c r="U12" s="33">
        <f t="shared" si="0"/>
        <v>0</v>
      </c>
      <c r="V12" s="33">
        <f t="shared" si="0"/>
        <v>347230438.36326313</v>
      </c>
      <c r="W12" s="33">
        <f t="shared" si="0"/>
        <v>10337435.786639178</v>
      </c>
      <c r="X12" s="33">
        <f t="shared" si="0"/>
        <v>0</v>
      </c>
      <c r="Y12" s="33">
        <f t="shared" si="0"/>
        <v>1075803.3333333333</v>
      </c>
      <c r="Z12" s="33">
        <f t="shared" si="0"/>
        <v>11413239.119972512</v>
      </c>
      <c r="AA12" s="33">
        <f t="shared" si="0"/>
        <v>0</v>
      </c>
      <c r="AB12" s="33">
        <f t="shared" si="0"/>
        <v>0</v>
      </c>
      <c r="AC12" s="33">
        <f t="shared" si="0"/>
        <v>0</v>
      </c>
      <c r="AD12" s="33">
        <f t="shared" si="0"/>
        <v>0</v>
      </c>
      <c r="AE12" s="33">
        <f t="shared" si="0"/>
        <v>0</v>
      </c>
      <c r="AF12" s="33">
        <f t="shared" si="0"/>
        <v>11413239.119972512</v>
      </c>
      <c r="AG12" s="33">
        <f t="shared" si="0"/>
        <v>23237352</v>
      </c>
      <c r="AH12" s="33">
        <f t="shared" si="0"/>
        <v>16519800.654687501</v>
      </c>
      <c r="AI12" s="33">
        <f t="shared" si="0"/>
        <v>16195882.994791666</v>
      </c>
      <c r="AJ12" s="33">
        <f t="shared" si="0"/>
        <v>8956614.0343021639</v>
      </c>
      <c r="AK12" s="33">
        <f t="shared" si="0"/>
        <v>1297560.206666687</v>
      </c>
      <c r="AL12" s="33">
        <f t="shared" si="0"/>
        <v>6784280.5363386786</v>
      </c>
      <c r="AM12" s="33">
        <f t="shared" si="0"/>
        <v>1265848.4097588966</v>
      </c>
      <c r="AN12" s="33">
        <f t="shared" si="0"/>
        <v>1265848.4097588966</v>
      </c>
      <c r="AO12" s="33">
        <f t="shared" si="0"/>
        <v>2329852.621327233</v>
      </c>
      <c r="AP12" s="33">
        <f t="shared" si="0"/>
        <v>0</v>
      </c>
      <c r="AQ12" s="34">
        <f t="shared" si="0"/>
        <v>77853039.867631719</v>
      </c>
      <c r="AR12" s="33">
        <f t="shared" si="0"/>
        <v>841605.26097579999</v>
      </c>
      <c r="AS12" s="33">
        <f t="shared" si="0"/>
        <v>793787.15664054547</v>
      </c>
      <c r="AT12" s="35">
        <f t="shared" si="0"/>
        <v>1635392.4176163455</v>
      </c>
      <c r="AU12" s="34">
        <f t="shared" si="0"/>
        <v>436496717.35086739</v>
      </c>
    </row>
    <row r="13" spans="1:47" ht="15" customHeight="1" thickTop="1" x14ac:dyDescent="0.2">
      <c r="A13" s="24" t="s">
        <v>59</v>
      </c>
      <c r="B13" s="22">
        <v>19</v>
      </c>
      <c r="C13" s="21">
        <v>1</v>
      </c>
      <c r="D13" s="37">
        <f>8068525</f>
        <v>8068525</v>
      </c>
      <c r="E13" s="17">
        <f t="shared" ref="E13:E14" si="1">D13*C13*12</f>
        <v>96822300</v>
      </c>
      <c r="F13" s="17">
        <v>0</v>
      </c>
      <c r="G13" s="17">
        <f>(D13/2)*12</f>
        <v>48411150</v>
      </c>
      <c r="H13" s="17">
        <f t="shared" ref="H13:H14" si="2">(IF(D13&gt;=1853502,0,66098))*12</f>
        <v>0</v>
      </c>
      <c r="I13" s="17">
        <f t="shared" ref="I13:I14" si="3">+(IF(D13&lt;(877803*2),102854,0)*12)</f>
        <v>0</v>
      </c>
      <c r="J13" s="17">
        <f t="shared" ref="J13:J14" si="4">+(E13+H13+I13+(K13/12))/24</f>
        <v>4048970.7486979165</v>
      </c>
      <c r="K13" s="17">
        <f t="shared" ref="K13:K14" si="5">+IF(D13&lt;1853502,((D13+(F13/12)+(G13/12))*0.5),((D13+(F13/12)+(G13/12))*0.35))</f>
        <v>4235975.625</v>
      </c>
      <c r="L13" s="17">
        <v>0</v>
      </c>
      <c r="M13" s="17">
        <f t="shared" ref="M13" si="6">+(((D13+(F13/12)+(G13/12))+J13/12+K13/12+N13/12)*C13)</f>
        <v>13355016.860125506</v>
      </c>
      <c r="N13" s="17">
        <f t="shared" ref="N13:N14" si="7">+(((D13+(F13/12)+(G13/12))/2+J13/12+K13/12)*C13)</f>
        <v>6741805.9478081595</v>
      </c>
      <c r="O13" s="17"/>
      <c r="P13" s="17">
        <f t="shared" ref="P13:P14" si="8">SUM(E13:O13)</f>
        <v>173615219.18163157</v>
      </c>
      <c r="Q13" s="17"/>
      <c r="R13" s="17"/>
      <c r="S13" s="17"/>
      <c r="T13" s="17"/>
      <c r="U13" s="17">
        <f t="shared" ref="U13:U14" si="9">SUM(Q13:T13)</f>
        <v>0</v>
      </c>
      <c r="V13" s="17">
        <f t="shared" ref="V13:V14" si="10">P13+U13</f>
        <v>173615219.18163157</v>
      </c>
      <c r="W13" s="17">
        <f t="shared" ref="W13:W14" si="11">+(((D13+(F13/12)+(G13/12))/2+(J13/12)+(K13/12))*23/30)*C13</f>
        <v>5168717.8933195891</v>
      </c>
      <c r="X13" s="17">
        <v>0</v>
      </c>
      <c r="Y13" s="17">
        <f t="shared" ref="Y13:Y14" si="12">+(((D13)/30)*2)*C13</f>
        <v>537901.66666666663</v>
      </c>
      <c r="Z13" s="17">
        <f t="shared" ref="Z13:Z14" si="13">SUM(W13:Y13)</f>
        <v>5706619.5599862561</v>
      </c>
      <c r="AA13" s="17"/>
      <c r="AB13" s="17"/>
      <c r="AC13" s="17"/>
      <c r="AD13" s="17"/>
      <c r="AE13" s="17">
        <f t="shared" ref="AE13:AE14" si="14">SUM(AA13:AD13)</f>
        <v>0</v>
      </c>
      <c r="AF13" s="17">
        <f t="shared" ref="AF13:AF14" si="15">Z13+AE13</f>
        <v>5706619.5599862561</v>
      </c>
      <c r="AG13" s="17">
        <f t="shared" ref="AG13:AG14" si="16">+(((D13+H13/12)*12%)*12)*C13</f>
        <v>11618676</v>
      </c>
      <c r="AH13" s="17">
        <f t="shared" ref="AH13:AH14" si="17">+(E13+H13+I13+K13/12)*0.085</f>
        <v>8259900.3273437507</v>
      </c>
      <c r="AI13" s="17">
        <f t="shared" ref="AI13:AI14" si="18">(E13+H13+I13+K13/12)/12</f>
        <v>8097941.497395833</v>
      </c>
      <c r="AJ13" s="18">
        <f t="shared" ref="AJ13:AJ14" si="19">+((D13*0.0462528468870403)*C13)*12</f>
        <v>4478307.0171510819</v>
      </c>
      <c r="AK13" s="18">
        <f t="shared" ref="AK13:AK14" si="20">+((D13*0.00670073013482786)*C13)*12</f>
        <v>648780.10333334352</v>
      </c>
      <c r="AL13" s="17">
        <f t="shared" ref="AL13:AL14" si="21">+(((D13*0.0350347003548701)*C13)*12)</f>
        <v>3392140.2681693393</v>
      </c>
      <c r="AM13" s="18">
        <f t="shared" ref="AM13:AM14" si="22">+(((D13*0.00653696725733068)*C13)*12)</f>
        <v>632924.20487944828</v>
      </c>
      <c r="AN13" s="18">
        <f t="shared" ref="AN13:AN14" si="23">+(((D13*0.00653696725733068)*C13)*12)</f>
        <v>632924.20487944828</v>
      </c>
      <c r="AO13" s="17">
        <f t="shared" ref="AO13:AO14" si="24">+(((D13*0.0120315909729847)*C13)*12)</f>
        <v>1164926.3106636165</v>
      </c>
      <c r="AP13" s="17">
        <v>0</v>
      </c>
      <c r="AQ13" s="19">
        <f t="shared" ref="AQ13:AQ14" si="25">SUM(AG13:AP13)</f>
        <v>38926519.933815859</v>
      </c>
      <c r="AR13" s="18">
        <f t="shared" ref="AR13:AR14" si="26">+(((D13*0.00434613338546905)*C13)*12)</f>
        <v>420802.63048789999</v>
      </c>
      <c r="AS13" s="18">
        <f t="shared" ref="AS13:AS14" si="27">+((D13*0.00409919593234485)*C13)*12</f>
        <v>396893.57832027273</v>
      </c>
      <c r="AT13" s="18">
        <f t="shared" ref="AT13:AT14" si="28">SUM(AR13:AS13)</f>
        <v>817696.20880817273</v>
      </c>
      <c r="AU13" s="20">
        <f t="shared" ref="AU13:AU14" si="29">V13+AF13+AQ13</f>
        <v>218248358.6754337</v>
      </c>
    </row>
    <row r="14" spans="1:47" ht="15" customHeight="1" thickBot="1" x14ac:dyDescent="0.25">
      <c r="A14" s="24" t="s">
        <v>63</v>
      </c>
      <c r="B14" s="22">
        <v>19</v>
      </c>
      <c r="C14" s="23">
        <v>1</v>
      </c>
      <c r="D14" s="37">
        <v>8068525</v>
      </c>
      <c r="E14" s="17">
        <f t="shared" si="1"/>
        <v>96822300</v>
      </c>
      <c r="F14" s="17">
        <v>0</v>
      </c>
      <c r="G14" s="17">
        <f t="shared" ref="G14" si="30">(D14/2)*12</f>
        <v>48411150</v>
      </c>
      <c r="H14" s="17">
        <f t="shared" si="2"/>
        <v>0</v>
      </c>
      <c r="I14" s="17">
        <f t="shared" si="3"/>
        <v>0</v>
      </c>
      <c r="J14" s="17">
        <f t="shared" si="4"/>
        <v>4048970.7486979165</v>
      </c>
      <c r="K14" s="17">
        <f t="shared" si="5"/>
        <v>4235975.625</v>
      </c>
      <c r="L14" s="17">
        <v>0</v>
      </c>
      <c r="M14" s="17">
        <f>+(((D14+(F14/12)+(G14/12))+J14/12+K14/12+N14/12))</f>
        <v>13355016.860125506</v>
      </c>
      <c r="N14" s="17">
        <f t="shared" si="7"/>
        <v>6741805.9478081595</v>
      </c>
      <c r="O14" s="17"/>
      <c r="P14" s="17">
        <f t="shared" si="8"/>
        <v>173615219.18163157</v>
      </c>
      <c r="Q14" s="17"/>
      <c r="R14" s="17"/>
      <c r="S14" s="17"/>
      <c r="T14" s="17"/>
      <c r="U14" s="17">
        <f t="shared" si="9"/>
        <v>0</v>
      </c>
      <c r="V14" s="17">
        <f t="shared" si="10"/>
        <v>173615219.18163157</v>
      </c>
      <c r="W14" s="17">
        <f t="shared" si="11"/>
        <v>5168717.8933195891</v>
      </c>
      <c r="X14" s="17">
        <v>0</v>
      </c>
      <c r="Y14" s="17">
        <f t="shared" si="12"/>
        <v>537901.66666666663</v>
      </c>
      <c r="Z14" s="17">
        <f t="shared" si="13"/>
        <v>5706619.5599862561</v>
      </c>
      <c r="AA14" s="17"/>
      <c r="AB14" s="17"/>
      <c r="AC14" s="17"/>
      <c r="AD14" s="17"/>
      <c r="AE14" s="17">
        <f t="shared" si="14"/>
        <v>0</v>
      </c>
      <c r="AF14" s="17">
        <f t="shared" si="15"/>
        <v>5706619.5599862561</v>
      </c>
      <c r="AG14" s="17">
        <f t="shared" si="16"/>
        <v>11618676</v>
      </c>
      <c r="AH14" s="17">
        <f t="shared" si="17"/>
        <v>8259900.3273437507</v>
      </c>
      <c r="AI14" s="17">
        <f t="shared" si="18"/>
        <v>8097941.497395833</v>
      </c>
      <c r="AJ14" s="18">
        <f t="shared" si="19"/>
        <v>4478307.0171510819</v>
      </c>
      <c r="AK14" s="18">
        <f t="shared" si="20"/>
        <v>648780.10333334352</v>
      </c>
      <c r="AL14" s="17">
        <f t="shared" si="21"/>
        <v>3392140.2681693393</v>
      </c>
      <c r="AM14" s="18">
        <f t="shared" si="22"/>
        <v>632924.20487944828</v>
      </c>
      <c r="AN14" s="18">
        <f t="shared" si="23"/>
        <v>632924.20487944828</v>
      </c>
      <c r="AO14" s="17">
        <f t="shared" si="24"/>
        <v>1164926.3106636165</v>
      </c>
      <c r="AP14" s="17">
        <v>0</v>
      </c>
      <c r="AQ14" s="19">
        <f t="shared" si="25"/>
        <v>38926519.933815859</v>
      </c>
      <c r="AR14" s="18">
        <f t="shared" si="26"/>
        <v>420802.63048789999</v>
      </c>
      <c r="AS14" s="18">
        <f t="shared" si="27"/>
        <v>396893.57832027273</v>
      </c>
      <c r="AT14" s="18">
        <f t="shared" si="28"/>
        <v>817696.20880817273</v>
      </c>
      <c r="AU14" s="20">
        <f t="shared" si="29"/>
        <v>218248358.6754337</v>
      </c>
    </row>
    <row r="15" spans="1:47" ht="15" customHeight="1" thickTop="1" thickBot="1" x14ac:dyDescent="0.25">
      <c r="A15" s="25" t="s">
        <v>60</v>
      </c>
      <c r="B15" s="26"/>
      <c r="C15" s="27">
        <f>C12</f>
        <v>2</v>
      </c>
      <c r="D15" s="39">
        <f t="shared" ref="D15:AU15" si="31">D12</f>
        <v>16137050</v>
      </c>
      <c r="E15" s="39">
        <f t="shared" si="31"/>
        <v>193644600</v>
      </c>
      <c r="F15" s="39">
        <f t="shared" si="31"/>
        <v>0</v>
      </c>
      <c r="G15" s="39">
        <f t="shared" si="31"/>
        <v>96822300</v>
      </c>
      <c r="H15" s="39">
        <f t="shared" si="31"/>
        <v>0</v>
      </c>
      <c r="I15" s="39">
        <f t="shared" si="31"/>
        <v>0</v>
      </c>
      <c r="J15" s="39">
        <f t="shared" si="31"/>
        <v>8097941.497395833</v>
      </c>
      <c r="K15" s="39">
        <f t="shared" si="31"/>
        <v>8471951.25</v>
      </c>
      <c r="L15" s="39">
        <f t="shared" si="31"/>
        <v>0</v>
      </c>
      <c r="M15" s="39">
        <f t="shared" si="31"/>
        <v>26710033.720251013</v>
      </c>
      <c r="N15" s="39">
        <f t="shared" si="31"/>
        <v>13483611.895616319</v>
      </c>
      <c r="O15" s="39">
        <f t="shared" si="31"/>
        <v>0</v>
      </c>
      <c r="P15" s="39">
        <f t="shared" si="31"/>
        <v>347230438.36326313</v>
      </c>
      <c r="Q15" s="39">
        <f t="shared" si="31"/>
        <v>0</v>
      </c>
      <c r="R15" s="39">
        <f t="shared" si="31"/>
        <v>0</v>
      </c>
      <c r="S15" s="39">
        <f t="shared" si="31"/>
        <v>0</v>
      </c>
      <c r="T15" s="39">
        <f t="shared" si="31"/>
        <v>0</v>
      </c>
      <c r="U15" s="39">
        <f t="shared" si="31"/>
        <v>0</v>
      </c>
      <c r="V15" s="39">
        <f t="shared" si="31"/>
        <v>347230438.36326313</v>
      </c>
      <c r="W15" s="39">
        <f t="shared" si="31"/>
        <v>10337435.786639178</v>
      </c>
      <c r="X15" s="39">
        <f t="shared" si="31"/>
        <v>0</v>
      </c>
      <c r="Y15" s="39">
        <f t="shared" si="31"/>
        <v>1075803.3333333333</v>
      </c>
      <c r="Z15" s="39">
        <f t="shared" si="31"/>
        <v>11413239.119972512</v>
      </c>
      <c r="AA15" s="39">
        <f t="shared" si="31"/>
        <v>0</v>
      </c>
      <c r="AB15" s="39">
        <f t="shared" si="31"/>
        <v>0</v>
      </c>
      <c r="AC15" s="39">
        <f t="shared" si="31"/>
        <v>0</v>
      </c>
      <c r="AD15" s="39">
        <f t="shared" si="31"/>
        <v>0</v>
      </c>
      <c r="AE15" s="39">
        <f t="shared" si="31"/>
        <v>0</v>
      </c>
      <c r="AF15" s="39">
        <f t="shared" si="31"/>
        <v>11413239.119972512</v>
      </c>
      <c r="AG15" s="39">
        <f t="shared" si="31"/>
        <v>23237352</v>
      </c>
      <c r="AH15" s="39">
        <f t="shared" si="31"/>
        <v>16519800.654687501</v>
      </c>
      <c r="AI15" s="39">
        <f t="shared" si="31"/>
        <v>16195882.994791666</v>
      </c>
      <c r="AJ15" s="39">
        <f t="shared" si="31"/>
        <v>8956614.0343021639</v>
      </c>
      <c r="AK15" s="39">
        <f t="shared" si="31"/>
        <v>1297560.206666687</v>
      </c>
      <c r="AL15" s="39">
        <f t="shared" si="31"/>
        <v>6784280.5363386786</v>
      </c>
      <c r="AM15" s="39">
        <f t="shared" si="31"/>
        <v>1265848.4097588966</v>
      </c>
      <c r="AN15" s="39">
        <f t="shared" si="31"/>
        <v>1265848.4097588966</v>
      </c>
      <c r="AO15" s="39">
        <f t="shared" si="31"/>
        <v>2329852.621327233</v>
      </c>
      <c r="AP15" s="39">
        <f t="shared" si="31"/>
        <v>0</v>
      </c>
      <c r="AQ15" s="39">
        <f t="shared" si="31"/>
        <v>77853039.867631719</v>
      </c>
      <c r="AR15" s="39">
        <f t="shared" si="31"/>
        <v>841605.26097579999</v>
      </c>
      <c r="AS15" s="39">
        <f t="shared" si="31"/>
        <v>793787.15664054547</v>
      </c>
      <c r="AT15" s="39">
        <f t="shared" si="31"/>
        <v>1635392.4176163455</v>
      </c>
      <c r="AU15" s="39">
        <f t="shared" si="31"/>
        <v>436496717.35086739</v>
      </c>
    </row>
    <row r="16" spans="1:47" ht="15" customHeight="1" thickTop="1" thickBot="1" x14ac:dyDescent="0.25">
      <c r="A16" s="10" t="s">
        <v>61</v>
      </c>
      <c r="B16" s="28"/>
      <c r="C16" s="28"/>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30"/>
      <c r="AH16" s="30"/>
      <c r="AI16" s="30"/>
      <c r="AJ16" s="30"/>
      <c r="AK16" s="30"/>
      <c r="AL16" s="30"/>
      <c r="AM16" s="30"/>
      <c r="AN16" s="30"/>
      <c r="AO16" s="29"/>
      <c r="AP16" s="29"/>
      <c r="AQ16" s="31"/>
      <c r="AR16" s="30"/>
      <c r="AS16" s="30"/>
      <c r="AT16" s="30"/>
      <c r="AU16" s="31"/>
    </row>
    <row r="17" spans="1:51" ht="23" customHeight="1" thickTop="1" x14ac:dyDescent="0.2">
      <c r="A17" s="136" t="s">
        <v>127</v>
      </c>
      <c r="B17" s="136"/>
      <c r="C17" s="136"/>
      <c r="D17" s="136"/>
    </row>
    <row r="18" spans="1:51" ht="31" customHeight="1" x14ac:dyDescent="0.2">
      <c r="A18" s="137"/>
      <c r="B18" s="137"/>
      <c r="C18" s="137"/>
      <c r="D18" s="137"/>
    </row>
    <row r="23" spans="1:51" x14ac:dyDescent="0.2">
      <c r="A23" s="45" t="s">
        <v>64</v>
      </c>
      <c r="B23" s="113" t="s">
        <v>67</v>
      </c>
      <c r="C23" s="113"/>
      <c r="D23" s="113"/>
      <c r="E23" s="113"/>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row>
    <row r="24" spans="1:51" x14ac:dyDescent="0.2">
      <c r="A24" s="45" t="s">
        <v>65</v>
      </c>
      <c r="B24" s="114" t="s">
        <v>68</v>
      </c>
      <c r="C24" s="114"/>
      <c r="D24" s="114"/>
      <c r="E24" s="114"/>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Y24" s="38"/>
    </row>
    <row r="25" spans="1:51" x14ac:dyDescent="0.2">
      <c r="A25" s="45" t="s">
        <v>66</v>
      </c>
      <c r="B25" s="115" t="s">
        <v>69</v>
      </c>
      <c r="C25" s="115"/>
      <c r="D25" s="115"/>
      <c r="E25" s="115"/>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row>
    <row r="26" spans="1:51" ht="17" thickBot="1" x14ac:dyDescent="0.25">
      <c r="A26" s="2"/>
      <c r="B26" s="2"/>
      <c r="C26" s="2"/>
      <c r="D26" s="2"/>
      <c r="E26" s="2"/>
      <c r="F26" s="2"/>
      <c r="G26" s="2"/>
      <c r="H26" s="2"/>
      <c r="I26" s="2"/>
      <c r="J26" s="2"/>
      <c r="K26" s="2"/>
      <c r="L26" s="2"/>
      <c r="M26" s="2"/>
      <c r="N26" s="2"/>
      <c r="O26" s="2"/>
      <c r="P26" s="2"/>
      <c r="Q26" s="2"/>
      <c r="R26" s="2"/>
      <c r="S26" s="2"/>
      <c r="T26" s="2"/>
      <c r="U26" s="2"/>
      <c r="V26" s="2"/>
      <c r="W26" s="1"/>
      <c r="X26" s="1"/>
      <c r="Y26" s="1"/>
      <c r="Z26" s="1"/>
      <c r="AA26" s="1"/>
      <c r="AB26" s="1"/>
      <c r="AC26" s="1"/>
      <c r="AD26" s="1"/>
      <c r="AE26" s="1"/>
      <c r="AF26" s="1"/>
      <c r="AG26" s="1"/>
      <c r="AH26" s="1"/>
      <c r="AI26" s="1"/>
      <c r="AJ26" s="1"/>
      <c r="AK26" s="1"/>
      <c r="AL26" s="1"/>
      <c r="AM26" s="1"/>
      <c r="AN26" s="1"/>
      <c r="AO26" s="1"/>
      <c r="AP26" s="1"/>
      <c r="AQ26" s="1"/>
      <c r="AR26" s="1"/>
      <c r="AS26" s="1"/>
      <c r="AT26" s="1"/>
      <c r="AU26" s="1"/>
      <c r="AY26" s="38"/>
    </row>
    <row r="27" spans="1:51" ht="17" thickTop="1" x14ac:dyDescent="0.2">
      <c r="A27" s="116" t="s">
        <v>0</v>
      </c>
      <c r="B27" s="118" t="s">
        <v>1</v>
      </c>
      <c r="C27" s="120" t="s">
        <v>2</v>
      </c>
      <c r="D27" s="119" t="s">
        <v>3</v>
      </c>
      <c r="E27" s="122"/>
      <c r="F27" s="122"/>
      <c r="G27" s="122"/>
      <c r="H27" s="122"/>
      <c r="I27" s="122"/>
      <c r="J27" s="122"/>
      <c r="K27" s="122"/>
      <c r="L27" s="122"/>
      <c r="M27" s="122"/>
      <c r="N27" s="122"/>
      <c r="O27" s="122"/>
      <c r="P27" s="122"/>
      <c r="Q27" s="123"/>
      <c r="R27" s="123"/>
      <c r="S27" s="123"/>
      <c r="T27" s="123"/>
      <c r="U27" s="123"/>
      <c r="V27" s="124"/>
      <c r="W27" s="125" t="s">
        <v>4</v>
      </c>
      <c r="X27" s="126"/>
      <c r="Y27" s="126"/>
      <c r="Z27" s="126"/>
      <c r="AA27" s="126"/>
      <c r="AB27" s="126"/>
      <c r="AC27" s="126"/>
      <c r="AD27" s="126"/>
      <c r="AE27" s="126"/>
      <c r="AF27" s="127"/>
      <c r="AG27" s="125" t="s">
        <v>5</v>
      </c>
      <c r="AH27" s="126"/>
      <c r="AI27" s="126"/>
      <c r="AJ27" s="126"/>
      <c r="AK27" s="126"/>
      <c r="AL27" s="126"/>
      <c r="AM27" s="126"/>
      <c r="AN27" s="126"/>
      <c r="AO27" s="126"/>
      <c r="AP27" s="126"/>
      <c r="AQ27" s="127"/>
      <c r="AR27" s="119" t="s">
        <v>6</v>
      </c>
      <c r="AS27" s="122"/>
      <c r="AT27" s="117"/>
      <c r="AU27" s="128" t="s">
        <v>7</v>
      </c>
    </row>
    <row r="28" spans="1:51" x14ac:dyDescent="0.2">
      <c r="A28" s="117"/>
      <c r="B28" s="119"/>
      <c r="C28" s="119"/>
      <c r="D28" s="130" t="s">
        <v>8</v>
      </c>
      <c r="E28" s="131"/>
      <c r="F28" s="131"/>
      <c r="G28" s="131"/>
      <c r="H28" s="131"/>
      <c r="I28" s="131"/>
      <c r="J28" s="131"/>
      <c r="K28" s="131"/>
      <c r="L28" s="131"/>
      <c r="M28" s="131"/>
      <c r="N28" s="131"/>
      <c r="O28" s="131"/>
      <c r="P28" s="132"/>
      <c r="Q28" s="130" t="s">
        <v>9</v>
      </c>
      <c r="R28" s="131"/>
      <c r="S28" s="131"/>
      <c r="T28" s="131"/>
      <c r="U28" s="132"/>
      <c r="V28" s="133" t="s">
        <v>10</v>
      </c>
      <c r="W28" s="130" t="s">
        <v>11</v>
      </c>
      <c r="X28" s="131"/>
      <c r="Y28" s="131"/>
      <c r="Z28" s="132"/>
      <c r="AA28" s="130" t="s">
        <v>12</v>
      </c>
      <c r="AB28" s="131"/>
      <c r="AC28" s="131"/>
      <c r="AD28" s="131"/>
      <c r="AE28" s="132"/>
      <c r="AF28" s="133" t="s">
        <v>10</v>
      </c>
      <c r="AG28" s="121" t="s">
        <v>13</v>
      </c>
      <c r="AH28" s="121" t="s">
        <v>14</v>
      </c>
      <c r="AI28" s="121" t="s">
        <v>15</v>
      </c>
      <c r="AJ28" s="121" t="s">
        <v>16</v>
      </c>
      <c r="AK28" s="121" t="s">
        <v>17</v>
      </c>
      <c r="AL28" s="121" t="s">
        <v>18</v>
      </c>
      <c r="AM28" s="121" t="s">
        <v>19</v>
      </c>
      <c r="AN28" s="121" t="s">
        <v>20</v>
      </c>
      <c r="AO28" s="121" t="s">
        <v>21</v>
      </c>
      <c r="AP28" s="121" t="s">
        <v>22</v>
      </c>
      <c r="AQ28" s="121" t="s">
        <v>10</v>
      </c>
      <c r="AR28" s="134" t="s">
        <v>23</v>
      </c>
      <c r="AS28" s="134" t="s">
        <v>24</v>
      </c>
      <c r="AT28" s="134" t="s">
        <v>25</v>
      </c>
      <c r="AU28" s="129"/>
    </row>
    <row r="29" spans="1:51" x14ac:dyDescent="0.2">
      <c r="A29" s="117"/>
      <c r="B29" s="119"/>
      <c r="C29" s="121"/>
      <c r="D29" s="130" t="s">
        <v>26</v>
      </c>
      <c r="E29" s="132"/>
      <c r="F29" s="133" t="s">
        <v>27</v>
      </c>
      <c r="G29" s="133" t="s">
        <v>28</v>
      </c>
      <c r="H29" s="133" t="s">
        <v>29</v>
      </c>
      <c r="I29" s="133" t="s">
        <v>30</v>
      </c>
      <c r="J29" s="133" t="s">
        <v>31</v>
      </c>
      <c r="K29" s="133" t="s">
        <v>32</v>
      </c>
      <c r="L29" s="133" t="s">
        <v>33</v>
      </c>
      <c r="M29" s="133" t="s">
        <v>34</v>
      </c>
      <c r="N29" s="133" t="s">
        <v>35</v>
      </c>
      <c r="O29" s="133" t="s">
        <v>36</v>
      </c>
      <c r="P29" s="133" t="s">
        <v>37</v>
      </c>
      <c r="Q29" s="133" t="s">
        <v>38</v>
      </c>
      <c r="R29" s="133" t="s">
        <v>39</v>
      </c>
      <c r="S29" s="133" t="s">
        <v>40</v>
      </c>
      <c r="T29" s="133" t="s">
        <v>41</v>
      </c>
      <c r="U29" s="133" t="s">
        <v>42</v>
      </c>
      <c r="V29" s="121"/>
      <c r="W29" s="133" t="s">
        <v>43</v>
      </c>
      <c r="X29" s="133" t="s">
        <v>44</v>
      </c>
      <c r="Y29" s="133" t="s">
        <v>45</v>
      </c>
      <c r="Z29" s="133" t="s">
        <v>37</v>
      </c>
      <c r="AA29" s="133" t="s">
        <v>46</v>
      </c>
      <c r="AB29" s="133" t="s">
        <v>47</v>
      </c>
      <c r="AC29" s="133" t="s">
        <v>48</v>
      </c>
      <c r="AD29" s="133" t="s">
        <v>49</v>
      </c>
      <c r="AE29" s="133" t="s">
        <v>42</v>
      </c>
      <c r="AF29" s="121"/>
      <c r="AG29" s="121"/>
      <c r="AH29" s="121"/>
      <c r="AI29" s="121"/>
      <c r="AJ29" s="121"/>
      <c r="AK29" s="121"/>
      <c r="AL29" s="121"/>
      <c r="AM29" s="121"/>
      <c r="AN29" s="121"/>
      <c r="AO29" s="121" t="s">
        <v>50</v>
      </c>
      <c r="AP29" s="121" t="s">
        <v>50</v>
      </c>
      <c r="AQ29" s="121" t="s">
        <v>50</v>
      </c>
      <c r="AR29" s="134"/>
      <c r="AS29" s="134"/>
      <c r="AT29" s="134"/>
      <c r="AU29" s="129"/>
    </row>
    <row r="30" spans="1:51" x14ac:dyDescent="0.2">
      <c r="A30" s="117"/>
      <c r="B30" s="119"/>
      <c r="C30" s="121"/>
      <c r="D30" s="133" t="s">
        <v>62</v>
      </c>
      <c r="E30" s="41" t="s">
        <v>51</v>
      </c>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t="s">
        <v>52</v>
      </c>
      <c r="AP30" s="121" t="s">
        <v>52</v>
      </c>
      <c r="AQ30" s="121" t="s">
        <v>52</v>
      </c>
      <c r="AR30" s="134"/>
      <c r="AS30" s="134"/>
      <c r="AT30" s="134"/>
      <c r="AU30" s="129"/>
    </row>
    <row r="31" spans="1:51" ht="17" thickBot="1" x14ac:dyDescent="0.25">
      <c r="A31" s="42">
        <v>1</v>
      </c>
      <c r="B31" s="5">
        <v>2</v>
      </c>
      <c r="C31" s="6">
        <v>3</v>
      </c>
      <c r="D31" s="135"/>
      <c r="E31" s="42">
        <v>4.0999999999999996</v>
      </c>
      <c r="F31" s="42">
        <v>4.2</v>
      </c>
      <c r="G31" s="42">
        <v>4.3</v>
      </c>
      <c r="H31" s="42">
        <v>4.4000000000000004</v>
      </c>
      <c r="I31" s="42">
        <v>4.5</v>
      </c>
      <c r="J31" s="42">
        <v>4.5999999999999996</v>
      </c>
      <c r="K31" s="42">
        <v>4.7</v>
      </c>
      <c r="L31" s="42">
        <v>4.8</v>
      </c>
      <c r="M31" s="42">
        <v>4.9000000000000004</v>
      </c>
      <c r="N31" s="7">
        <v>4.0999999999999996</v>
      </c>
      <c r="O31" s="42">
        <v>4.1100000000000003</v>
      </c>
      <c r="P31" s="42">
        <v>4</v>
      </c>
      <c r="Q31" s="6">
        <v>5.0999999999999996</v>
      </c>
      <c r="R31" s="42">
        <v>5.2</v>
      </c>
      <c r="S31" s="42">
        <v>5.3</v>
      </c>
      <c r="T31" s="42">
        <v>5.4</v>
      </c>
      <c r="U31" s="42">
        <v>5</v>
      </c>
      <c r="V31" s="42" t="s">
        <v>53</v>
      </c>
      <c r="W31" s="42">
        <v>7.1</v>
      </c>
      <c r="X31" s="42">
        <v>7.2</v>
      </c>
      <c r="Y31" s="42">
        <v>7.3</v>
      </c>
      <c r="Z31" s="42">
        <v>7</v>
      </c>
      <c r="AA31" s="42">
        <v>8.1</v>
      </c>
      <c r="AB31" s="42">
        <v>8.1999999999999993</v>
      </c>
      <c r="AC31" s="42">
        <v>8.3000000000000007</v>
      </c>
      <c r="AD31" s="42">
        <v>8.4</v>
      </c>
      <c r="AE31" s="42">
        <v>8</v>
      </c>
      <c r="AF31" s="42" t="s">
        <v>54</v>
      </c>
      <c r="AG31" s="42">
        <v>10.1</v>
      </c>
      <c r="AH31" s="42">
        <v>10.199999999999999</v>
      </c>
      <c r="AI31" s="42">
        <v>10.3</v>
      </c>
      <c r="AJ31" s="42">
        <v>10.4</v>
      </c>
      <c r="AK31" s="42">
        <v>10.5</v>
      </c>
      <c r="AL31" s="42">
        <v>10.6</v>
      </c>
      <c r="AM31" s="42">
        <v>10.7</v>
      </c>
      <c r="AN31" s="42">
        <v>10.8</v>
      </c>
      <c r="AO31" s="42">
        <v>10.9</v>
      </c>
      <c r="AP31" s="7">
        <v>10.1</v>
      </c>
      <c r="AQ31" s="42">
        <v>10</v>
      </c>
      <c r="AR31" s="43">
        <v>11.1</v>
      </c>
      <c r="AS31" s="43">
        <v>11.2</v>
      </c>
      <c r="AT31" s="43" t="s">
        <v>55</v>
      </c>
      <c r="AU31" s="9" t="s">
        <v>56</v>
      </c>
    </row>
    <row r="32" spans="1:51" ht="18" thickTop="1" thickBot="1" x14ac:dyDescent="0.25">
      <c r="A32" s="10" t="s">
        <v>57</v>
      </c>
      <c r="B32" s="11"/>
      <c r="C32" s="12"/>
      <c r="D32" s="13"/>
      <c r="E32" s="13"/>
      <c r="F32" s="13"/>
      <c r="G32" s="13"/>
      <c r="H32" s="13"/>
      <c r="I32" s="14"/>
      <c r="J32" s="14"/>
      <c r="K32" s="14"/>
      <c r="L32" s="15"/>
      <c r="M32" s="13"/>
      <c r="N32" s="13"/>
      <c r="O32" s="13"/>
      <c r="P32" s="13"/>
      <c r="Q32" s="13"/>
      <c r="R32" s="13"/>
      <c r="S32" s="14"/>
      <c r="T32" s="14"/>
      <c r="U32" s="15"/>
      <c r="V32" s="14"/>
      <c r="W32" s="14"/>
      <c r="X32" s="15"/>
      <c r="Y32" s="13"/>
      <c r="Z32" s="13"/>
      <c r="AA32" s="13"/>
      <c r="AB32" s="13"/>
      <c r="AC32" s="13"/>
      <c r="AD32" s="13"/>
      <c r="AE32" s="13"/>
      <c r="AF32" s="13"/>
      <c r="AG32" s="13"/>
      <c r="AH32" s="13"/>
      <c r="AI32" s="13"/>
      <c r="AJ32" s="13"/>
      <c r="AK32" s="13"/>
      <c r="AL32" s="13"/>
      <c r="AM32" s="14"/>
      <c r="AN32" s="14"/>
      <c r="AO32" s="15"/>
      <c r="AP32" s="14"/>
      <c r="AQ32" s="15"/>
      <c r="AR32" s="16"/>
      <c r="AS32" s="16"/>
      <c r="AT32" s="16"/>
      <c r="AU32" s="15"/>
    </row>
    <row r="33" spans="1:47" ht="18" thickTop="1" thickBot="1" x14ac:dyDescent="0.25">
      <c r="A33" s="32" t="s">
        <v>58</v>
      </c>
      <c r="B33" s="32"/>
      <c r="C33" s="36">
        <f t="shared" ref="C33" si="32">SUM(C34:C35)</f>
        <v>2</v>
      </c>
      <c r="D33" s="33">
        <f t="shared" ref="D33:AU33" si="33">SUM(D34:D35)</f>
        <v>16621161.5</v>
      </c>
      <c r="E33" s="33">
        <f t="shared" si="33"/>
        <v>199453938</v>
      </c>
      <c r="F33" s="33">
        <f t="shared" si="33"/>
        <v>0</v>
      </c>
      <c r="G33" s="33">
        <f t="shared" si="33"/>
        <v>99726969</v>
      </c>
      <c r="H33" s="33">
        <f t="shared" si="33"/>
        <v>0</v>
      </c>
      <c r="I33" s="33">
        <f t="shared" si="33"/>
        <v>0</v>
      </c>
      <c r="J33" s="33">
        <f t="shared" si="33"/>
        <v>8340879.7423177091</v>
      </c>
      <c r="K33" s="33">
        <f t="shared" si="33"/>
        <v>8726109.7874999996</v>
      </c>
      <c r="L33" s="33">
        <f t="shared" si="33"/>
        <v>0</v>
      </c>
      <c r="M33" s="33">
        <f t="shared" si="33"/>
        <v>27511334.731858544</v>
      </c>
      <c r="N33" s="33">
        <f t="shared" si="33"/>
        <v>13888120.25248481</v>
      </c>
      <c r="O33" s="33">
        <f t="shared" si="33"/>
        <v>0</v>
      </c>
      <c r="P33" s="33">
        <f t="shared" si="33"/>
        <v>357647351.51416111</v>
      </c>
      <c r="Q33" s="33">
        <f t="shared" si="33"/>
        <v>0</v>
      </c>
      <c r="R33" s="33">
        <f t="shared" si="33"/>
        <v>0</v>
      </c>
      <c r="S33" s="33">
        <f t="shared" si="33"/>
        <v>0</v>
      </c>
      <c r="T33" s="33">
        <f t="shared" si="33"/>
        <v>0</v>
      </c>
      <c r="U33" s="33">
        <f t="shared" si="33"/>
        <v>0</v>
      </c>
      <c r="V33" s="33">
        <f t="shared" si="33"/>
        <v>357647351.51416111</v>
      </c>
      <c r="W33" s="33">
        <f t="shared" si="33"/>
        <v>10647558.860238353</v>
      </c>
      <c r="X33" s="33">
        <f t="shared" si="33"/>
        <v>0</v>
      </c>
      <c r="Y33" s="33">
        <f t="shared" si="33"/>
        <v>1108077.4333333333</v>
      </c>
      <c r="Z33" s="33">
        <f t="shared" si="33"/>
        <v>11755636.293571686</v>
      </c>
      <c r="AA33" s="33">
        <f t="shared" si="33"/>
        <v>0</v>
      </c>
      <c r="AB33" s="33">
        <f t="shared" si="33"/>
        <v>0</v>
      </c>
      <c r="AC33" s="33">
        <f t="shared" si="33"/>
        <v>0</v>
      </c>
      <c r="AD33" s="33">
        <f t="shared" si="33"/>
        <v>0</v>
      </c>
      <c r="AE33" s="33">
        <f t="shared" si="33"/>
        <v>0</v>
      </c>
      <c r="AF33" s="33">
        <f t="shared" si="33"/>
        <v>11755636.293571686</v>
      </c>
      <c r="AG33" s="33">
        <f t="shared" si="33"/>
        <v>23934472.559999999</v>
      </c>
      <c r="AH33" s="33">
        <f t="shared" si="33"/>
        <v>17015394.674328126</v>
      </c>
      <c r="AI33" s="33">
        <f t="shared" si="33"/>
        <v>16681759.484635418</v>
      </c>
      <c r="AJ33" s="33">
        <f t="shared" si="33"/>
        <v>9225312.4553312287</v>
      </c>
      <c r="AK33" s="33">
        <f t="shared" si="33"/>
        <v>1336487.0128666877</v>
      </c>
      <c r="AL33" s="33">
        <f t="shared" si="33"/>
        <v>6987808.9524288392</v>
      </c>
      <c r="AM33" s="33">
        <f t="shared" si="33"/>
        <v>1303823.8620516635</v>
      </c>
      <c r="AN33" s="33">
        <f t="shared" si="33"/>
        <v>1303823.8620516635</v>
      </c>
      <c r="AO33" s="33">
        <f t="shared" si="33"/>
        <v>2399748.19996705</v>
      </c>
      <c r="AP33" s="33">
        <f t="shared" si="33"/>
        <v>0</v>
      </c>
      <c r="AQ33" s="34">
        <f t="shared" si="33"/>
        <v>80188631.063660681</v>
      </c>
      <c r="AR33" s="33">
        <f t="shared" si="33"/>
        <v>866853.41880507395</v>
      </c>
      <c r="AS33" s="33">
        <f t="shared" si="33"/>
        <v>817600.77133976191</v>
      </c>
      <c r="AT33" s="35">
        <f t="shared" si="33"/>
        <v>1684454.190144836</v>
      </c>
      <c r="AU33" s="34">
        <f t="shared" si="33"/>
        <v>449591618.8713935</v>
      </c>
    </row>
    <row r="34" spans="1:47" ht="17" thickTop="1" x14ac:dyDescent="0.2">
      <c r="A34" s="24" t="s">
        <v>59</v>
      </c>
      <c r="B34" s="22">
        <v>19</v>
      </c>
      <c r="C34" s="21">
        <v>1</v>
      </c>
      <c r="D34" s="37">
        <f>+D13*1.03</f>
        <v>8310580.75</v>
      </c>
      <c r="E34" s="17">
        <f t="shared" ref="E34:E35" si="34">D34*C34*12</f>
        <v>99726969</v>
      </c>
      <c r="F34" s="17">
        <v>0</v>
      </c>
      <c r="G34" s="17">
        <f>(D34/2)*12</f>
        <v>49863484.5</v>
      </c>
      <c r="H34" s="17">
        <f t="shared" ref="H34:H35" si="35">(IF(D34&gt;=1853502,0,66098))*12</f>
        <v>0</v>
      </c>
      <c r="I34" s="17">
        <f t="shared" ref="I34:I35" si="36">+(IF(D34&lt;(877803*2),102854,0)*12)</f>
        <v>0</v>
      </c>
      <c r="J34" s="17">
        <f t="shared" ref="J34:J35" si="37">+(E34+H34+I34+(K34/12))/24</f>
        <v>4170439.8711588546</v>
      </c>
      <c r="K34" s="17">
        <f t="shared" ref="K34:K35" si="38">+IF(D34&lt;1853502,((D34+(F34/12)+(G34/12))*0.5),((D34+(F34/12)+(G34/12))*0.35))</f>
        <v>4363054.8937499998</v>
      </c>
      <c r="L34" s="17">
        <v>0</v>
      </c>
      <c r="M34" s="17">
        <f t="shared" ref="M34" si="39">+(((D34+(F34/12)+(G34/12))+J34/12+K34/12+N34/12)*C34)</f>
        <v>13755667.365929272</v>
      </c>
      <c r="N34" s="17">
        <f t="shared" ref="N34:N35" si="40">+(((D34+(F34/12)+(G34/12))/2+J34/12+K34/12)*C34)</f>
        <v>6944060.1262424048</v>
      </c>
      <c r="O34" s="17"/>
      <c r="P34" s="17">
        <f t="shared" ref="P34:P35" si="41">SUM(E34:O34)</f>
        <v>178823675.75708055</v>
      </c>
      <c r="Q34" s="17"/>
      <c r="R34" s="17"/>
      <c r="S34" s="17"/>
      <c r="T34" s="17"/>
      <c r="U34" s="17">
        <f t="shared" ref="U34:U35" si="42">SUM(Q34:T34)</f>
        <v>0</v>
      </c>
      <c r="V34" s="17">
        <f t="shared" ref="V34:V35" si="43">P34+U34</f>
        <v>178823675.75708055</v>
      </c>
      <c r="W34" s="17">
        <f t="shared" ref="W34:W35" si="44">+(((D34+(F34/12)+(G34/12))/2+(J34/12)+(K34/12))*23/30)*C34</f>
        <v>5323779.4301191764</v>
      </c>
      <c r="X34" s="17">
        <v>0</v>
      </c>
      <c r="Y34" s="17">
        <f t="shared" ref="Y34:Y35" si="45">+(((D34)/30)*2)*C34</f>
        <v>554038.71666666667</v>
      </c>
      <c r="Z34" s="17">
        <f t="shared" ref="Z34:Z35" si="46">SUM(W34:Y34)</f>
        <v>5877818.1467858432</v>
      </c>
      <c r="AA34" s="17"/>
      <c r="AB34" s="17"/>
      <c r="AC34" s="17"/>
      <c r="AD34" s="17"/>
      <c r="AE34" s="17">
        <f t="shared" ref="AE34:AE35" si="47">SUM(AA34:AD34)</f>
        <v>0</v>
      </c>
      <c r="AF34" s="17">
        <f t="shared" ref="AF34:AF35" si="48">Z34+AE34</f>
        <v>5877818.1467858432</v>
      </c>
      <c r="AG34" s="17">
        <f t="shared" ref="AG34:AG35" si="49">+(((D34+H34/12)*12%)*12)*C34</f>
        <v>11967236.279999999</v>
      </c>
      <c r="AH34" s="17">
        <f t="shared" ref="AH34:AH35" si="50">+(E34+H34+I34+K34/12)*0.085</f>
        <v>8507697.337164063</v>
      </c>
      <c r="AI34" s="17">
        <f t="shared" ref="AI34:AI35" si="51">(E34+H34+I34+K34/12)/12</f>
        <v>8340879.7423177091</v>
      </c>
      <c r="AJ34" s="18">
        <f t="shared" ref="AJ34:AJ35" si="52">+((D34*0.0462528468870403)*C34)*12</f>
        <v>4612656.2276656143</v>
      </c>
      <c r="AK34" s="18">
        <f t="shared" ref="AK34:AK35" si="53">+((D34*0.00670073013482786)*C34)*12</f>
        <v>668243.50643334386</v>
      </c>
      <c r="AL34" s="17">
        <f t="shared" ref="AL34:AL35" si="54">+(((D34*0.0350347003548701)*C34)*12)</f>
        <v>3493904.4762144196</v>
      </c>
      <c r="AM34" s="18">
        <f t="shared" ref="AM34:AM35" si="55">+(((D34*0.00653696725733068)*C34)*12)</f>
        <v>651911.93102583173</v>
      </c>
      <c r="AN34" s="18">
        <f t="shared" ref="AN34:AN35" si="56">+(((D34*0.00653696725733068)*C34)*12)</f>
        <v>651911.93102583173</v>
      </c>
      <c r="AO34" s="17">
        <f t="shared" ref="AO34:AO35" si="57">+(((D34*0.0120315909729847)*C34)*12)</f>
        <v>1199874.099983525</v>
      </c>
      <c r="AP34" s="17">
        <v>0</v>
      </c>
      <c r="AQ34" s="19">
        <f t="shared" ref="AQ34:AQ35" si="58">SUM(AG34:AP34)</f>
        <v>40094315.531830341</v>
      </c>
      <c r="AR34" s="18">
        <f t="shared" ref="AR34:AR35" si="59">+(((D34*0.00434613338546905)*C34)*12)</f>
        <v>433426.70940253697</v>
      </c>
      <c r="AS34" s="18">
        <f t="shared" ref="AS34:AS35" si="60">+((D34*0.00409919593234485)*C34)*12</f>
        <v>408800.38566988095</v>
      </c>
      <c r="AT34" s="18">
        <f t="shared" ref="AT34:AT35" si="61">SUM(AR34:AS34)</f>
        <v>842227.09507241799</v>
      </c>
      <c r="AU34" s="20">
        <f t="shared" ref="AU34:AU35" si="62">V34+AF34+AQ34</f>
        <v>224795809.43569675</v>
      </c>
    </row>
    <row r="35" spans="1:47" ht="17" thickBot="1" x14ac:dyDescent="0.25">
      <c r="A35" s="24" t="s">
        <v>63</v>
      </c>
      <c r="B35" s="22">
        <v>19</v>
      </c>
      <c r="C35" s="23">
        <v>1</v>
      </c>
      <c r="D35" s="37">
        <f>+D14*1.03</f>
        <v>8310580.75</v>
      </c>
      <c r="E35" s="17">
        <f t="shared" si="34"/>
        <v>99726969</v>
      </c>
      <c r="F35" s="17">
        <v>0</v>
      </c>
      <c r="G35" s="17">
        <f t="shared" ref="G35" si="63">(D35/2)*12</f>
        <v>49863484.5</v>
      </c>
      <c r="H35" s="17">
        <f t="shared" si="35"/>
        <v>0</v>
      </c>
      <c r="I35" s="17">
        <f t="shared" si="36"/>
        <v>0</v>
      </c>
      <c r="J35" s="17">
        <f t="shared" si="37"/>
        <v>4170439.8711588546</v>
      </c>
      <c r="K35" s="17">
        <f t="shared" si="38"/>
        <v>4363054.8937499998</v>
      </c>
      <c r="L35" s="17">
        <v>0</v>
      </c>
      <c r="M35" s="17">
        <f>+(((D35+(F35/12)+(G35/12))+J35/12+K35/12+N35/12))</f>
        <v>13755667.365929272</v>
      </c>
      <c r="N35" s="17">
        <f t="shared" si="40"/>
        <v>6944060.1262424048</v>
      </c>
      <c r="O35" s="17"/>
      <c r="P35" s="17">
        <f t="shared" si="41"/>
        <v>178823675.75708055</v>
      </c>
      <c r="Q35" s="17"/>
      <c r="R35" s="17"/>
      <c r="S35" s="17"/>
      <c r="T35" s="17"/>
      <c r="U35" s="17">
        <f t="shared" si="42"/>
        <v>0</v>
      </c>
      <c r="V35" s="17">
        <f t="shared" si="43"/>
        <v>178823675.75708055</v>
      </c>
      <c r="W35" s="17">
        <f t="shared" si="44"/>
        <v>5323779.4301191764</v>
      </c>
      <c r="X35" s="17">
        <v>0</v>
      </c>
      <c r="Y35" s="17">
        <f t="shared" si="45"/>
        <v>554038.71666666667</v>
      </c>
      <c r="Z35" s="17">
        <f t="shared" si="46"/>
        <v>5877818.1467858432</v>
      </c>
      <c r="AA35" s="17"/>
      <c r="AB35" s="17"/>
      <c r="AC35" s="17"/>
      <c r="AD35" s="17"/>
      <c r="AE35" s="17">
        <f t="shared" si="47"/>
        <v>0</v>
      </c>
      <c r="AF35" s="17">
        <f t="shared" si="48"/>
        <v>5877818.1467858432</v>
      </c>
      <c r="AG35" s="17">
        <f t="shared" si="49"/>
        <v>11967236.279999999</v>
      </c>
      <c r="AH35" s="17">
        <f t="shared" si="50"/>
        <v>8507697.337164063</v>
      </c>
      <c r="AI35" s="17">
        <f t="shared" si="51"/>
        <v>8340879.7423177091</v>
      </c>
      <c r="AJ35" s="18">
        <f t="shared" si="52"/>
        <v>4612656.2276656143</v>
      </c>
      <c r="AK35" s="18">
        <f t="shared" si="53"/>
        <v>668243.50643334386</v>
      </c>
      <c r="AL35" s="17">
        <f t="shared" si="54"/>
        <v>3493904.4762144196</v>
      </c>
      <c r="AM35" s="18">
        <f t="shared" si="55"/>
        <v>651911.93102583173</v>
      </c>
      <c r="AN35" s="18">
        <f t="shared" si="56"/>
        <v>651911.93102583173</v>
      </c>
      <c r="AO35" s="17">
        <f t="shared" si="57"/>
        <v>1199874.099983525</v>
      </c>
      <c r="AP35" s="17">
        <v>0</v>
      </c>
      <c r="AQ35" s="19">
        <f t="shared" si="58"/>
        <v>40094315.531830341</v>
      </c>
      <c r="AR35" s="18">
        <f t="shared" si="59"/>
        <v>433426.70940253697</v>
      </c>
      <c r="AS35" s="18">
        <f t="shared" si="60"/>
        <v>408800.38566988095</v>
      </c>
      <c r="AT35" s="18">
        <f t="shared" si="61"/>
        <v>842227.09507241799</v>
      </c>
      <c r="AU35" s="20">
        <f t="shared" si="62"/>
        <v>224795809.43569675</v>
      </c>
    </row>
    <row r="36" spans="1:47" ht="18" thickTop="1" thickBot="1" x14ac:dyDescent="0.25">
      <c r="A36" s="25" t="s">
        <v>60</v>
      </c>
      <c r="B36" s="26"/>
      <c r="C36" s="27">
        <f>C33</f>
        <v>2</v>
      </c>
      <c r="D36" s="39">
        <f t="shared" ref="D36:AU36" si="64">D33</f>
        <v>16621161.5</v>
      </c>
      <c r="E36" s="39">
        <f t="shared" si="64"/>
        <v>199453938</v>
      </c>
      <c r="F36" s="39">
        <f t="shared" si="64"/>
        <v>0</v>
      </c>
      <c r="G36" s="39">
        <f t="shared" si="64"/>
        <v>99726969</v>
      </c>
      <c r="H36" s="39">
        <f t="shared" si="64"/>
        <v>0</v>
      </c>
      <c r="I36" s="39">
        <f t="shared" si="64"/>
        <v>0</v>
      </c>
      <c r="J36" s="39">
        <f t="shared" si="64"/>
        <v>8340879.7423177091</v>
      </c>
      <c r="K36" s="39">
        <f t="shared" si="64"/>
        <v>8726109.7874999996</v>
      </c>
      <c r="L36" s="39">
        <f t="shared" si="64"/>
        <v>0</v>
      </c>
      <c r="M36" s="39">
        <f t="shared" si="64"/>
        <v>27511334.731858544</v>
      </c>
      <c r="N36" s="39">
        <f t="shared" si="64"/>
        <v>13888120.25248481</v>
      </c>
      <c r="O36" s="39">
        <f t="shared" si="64"/>
        <v>0</v>
      </c>
      <c r="P36" s="39">
        <f t="shared" si="64"/>
        <v>357647351.51416111</v>
      </c>
      <c r="Q36" s="39">
        <f t="shared" si="64"/>
        <v>0</v>
      </c>
      <c r="R36" s="39">
        <f t="shared" si="64"/>
        <v>0</v>
      </c>
      <c r="S36" s="39">
        <f t="shared" si="64"/>
        <v>0</v>
      </c>
      <c r="T36" s="39">
        <f t="shared" si="64"/>
        <v>0</v>
      </c>
      <c r="U36" s="39">
        <f t="shared" si="64"/>
        <v>0</v>
      </c>
      <c r="V36" s="39">
        <f t="shared" si="64"/>
        <v>357647351.51416111</v>
      </c>
      <c r="W36" s="39">
        <f t="shared" si="64"/>
        <v>10647558.860238353</v>
      </c>
      <c r="X36" s="39">
        <f t="shared" si="64"/>
        <v>0</v>
      </c>
      <c r="Y36" s="39">
        <f t="shared" si="64"/>
        <v>1108077.4333333333</v>
      </c>
      <c r="Z36" s="39">
        <f t="shared" si="64"/>
        <v>11755636.293571686</v>
      </c>
      <c r="AA36" s="39">
        <f t="shared" si="64"/>
        <v>0</v>
      </c>
      <c r="AB36" s="39">
        <f t="shared" si="64"/>
        <v>0</v>
      </c>
      <c r="AC36" s="39">
        <f t="shared" si="64"/>
        <v>0</v>
      </c>
      <c r="AD36" s="39">
        <f t="shared" si="64"/>
        <v>0</v>
      </c>
      <c r="AE36" s="39">
        <f t="shared" si="64"/>
        <v>0</v>
      </c>
      <c r="AF36" s="39">
        <f t="shared" si="64"/>
        <v>11755636.293571686</v>
      </c>
      <c r="AG36" s="39">
        <f t="shared" si="64"/>
        <v>23934472.559999999</v>
      </c>
      <c r="AH36" s="39">
        <f t="shared" si="64"/>
        <v>17015394.674328126</v>
      </c>
      <c r="AI36" s="39">
        <f t="shared" si="64"/>
        <v>16681759.484635418</v>
      </c>
      <c r="AJ36" s="39">
        <f t="shared" si="64"/>
        <v>9225312.4553312287</v>
      </c>
      <c r="AK36" s="39">
        <f t="shared" si="64"/>
        <v>1336487.0128666877</v>
      </c>
      <c r="AL36" s="39">
        <f t="shared" si="64"/>
        <v>6987808.9524288392</v>
      </c>
      <c r="AM36" s="39">
        <f t="shared" si="64"/>
        <v>1303823.8620516635</v>
      </c>
      <c r="AN36" s="39">
        <f t="shared" si="64"/>
        <v>1303823.8620516635</v>
      </c>
      <c r="AO36" s="39">
        <f t="shared" si="64"/>
        <v>2399748.19996705</v>
      </c>
      <c r="AP36" s="39">
        <f t="shared" si="64"/>
        <v>0</v>
      </c>
      <c r="AQ36" s="39">
        <f t="shared" si="64"/>
        <v>80188631.063660681</v>
      </c>
      <c r="AR36" s="39">
        <f t="shared" si="64"/>
        <v>866853.41880507395</v>
      </c>
      <c r="AS36" s="39">
        <f t="shared" si="64"/>
        <v>817600.77133976191</v>
      </c>
      <c r="AT36" s="39">
        <f t="shared" si="64"/>
        <v>1684454.190144836</v>
      </c>
      <c r="AU36" s="39">
        <f t="shared" si="64"/>
        <v>449591618.8713935</v>
      </c>
    </row>
    <row r="37" spans="1:47" ht="18" thickTop="1" thickBot="1" x14ac:dyDescent="0.25">
      <c r="A37" s="10" t="s">
        <v>61</v>
      </c>
      <c r="B37" s="28"/>
      <c r="C37" s="28"/>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30"/>
      <c r="AH37" s="30"/>
      <c r="AI37" s="30"/>
      <c r="AJ37" s="30"/>
      <c r="AK37" s="30"/>
      <c r="AL37" s="30"/>
      <c r="AM37" s="30"/>
      <c r="AN37" s="30"/>
      <c r="AO37" s="29"/>
      <c r="AP37" s="29"/>
      <c r="AQ37" s="31"/>
      <c r="AR37" s="30"/>
      <c r="AS37" s="30"/>
      <c r="AT37" s="30"/>
      <c r="AU37" s="31"/>
    </row>
    <row r="38" spans="1:47" ht="37" customHeight="1" thickTop="1" x14ac:dyDescent="0.2">
      <c r="A38" s="136" t="s">
        <v>128</v>
      </c>
      <c r="B38" s="136"/>
      <c r="C38" s="136"/>
      <c r="D38" s="136"/>
    </row>
    <row r="39" spans="1:47" ht="16" customHeight="1" x14ac:dyDescent="0.2"/>
  </sheetData>
  <sheetProtection algorithmName="SHA-512" hashValue="Hu4cf+TsDOjU+6MGwpY2wBfs+dM1oZ8cCofmPdxRq+fttg79PH95BWWUhO0pmRiv/uCmBFhduJO9gIRD7TE3Rw==" saltValue="9mF2KJ5vUjo+iWCXv4qr7g==" spinCount="100000" sheet="1" objects="1" scenarios="1"/>
  <mergeCells count="119">
    <mergeCell ref="A38:D38"/>
    <mergeCell ref="Y29:Y30"/>
    <mergeCell ref="Z29:Z30"/>
    <mergeCell ref="AA29:AA30"/>
    <mergeCell ref="AB29:AB30"/>
    <mergeCell ref="AC29:AC30"/>
    <mergeCell ref="AD29:AD30"/>
    <mergeCell ref="R29:R30"/>
    <mergeCell ref="S29:S30"/>
    <mergeCell ref="T29:T30"/>
    <mergeCell ref="U29:U30"/>
    <mergeCell ref="W29:W30"/>
    <mergeCell ref="X29:X30"/>
    <mergeCell ref="AR28:AR30"/>
    <mergeCell ref="AS28:AS30"/>
    <mergeCell ref="AH28:AH30"/>
    <mergeCell ref="AI28:AI30"/>
    <mergeCell ref="AJ28:AJ30"/>
    <mergeCell ref="AK28:AK30"/>
    <mergeCell ref="AL28:AL30"/>
    <mergeCell ref="AM28:AM30"/>
    <mergeCell ref="AE29:AE30"/>
    <mergeCell ref="AG27:AQ27"/>
    <mergeCell ref="AR27:AT27"/>
    <mergeCell ref="AU27:AU30"/>
    <mergeCell ref="D28:P28"/>
    <mergeCell ref="Q28:U28"/>
    <mergeCell ref="V28:V30"/>
    <mergeCell ref="W28:Z28"/>
    <mergeCell ref="AA28:AE28"/>
    <mergeCell ref="AF28:AF30"/>
    <mergeCell ref="AG28:AG30"/>
    <mergeCell ref="AT28:AT30"/>
    <mergeCell ref="D29:E29"/>
    <mergeCell ref="F29:F30"/>
    <mergeCell ref="G29:G30"/>
    <mergeCell ref="H29:H30"/>
    <mergeCell ref="I29:I30"/>
    <mergeCell ref="J29:J30"/>
    <mergeCell ref="K29:K30"/>
    <mergeCell ref="L29:L30"/>
    <mergeCell ref="M29:M30"/>
    <mergeCell ref="AN28:AN30"/>
    <mergeCell ref="AO28:AO30"/>
    <mergeCell ref="AP28:AP30"/>
    <mergeCell ref="AQ28:AQ30"/>
    <mergeCell ref="B25:E25"/>
    <mergeCell ref="A27:A30"/>
    <mergeCell ref="B27:B30"/>
    <mergeCell ref="C27:C30"/>
    <mergeCell ref="D27:V27"/>
    <mergeCell ref="W27:AF27"/>
    <mergeCell ref="N29:N30"/>
    <mergeCell ref="O29:O30"/>
    <mergeCell ref="P29:P30"/>
    <mergeCell ref="Q29:Q30"/>
    <mergeCell ref="D30:D31"/>
    <mergeCell ref="AO7:AO9"/>
    <mergeCell ref="AP7:AP9"/>
    <mergeCell ref="AQ7:AQ9"/>
    <mergeCell ref="AD8:AD9"/>
    <mergeCell ref="AE8:AE9"/>
    <mergeCell ref="D9:D10"/>
    <mergeCell ref="A17:D18"/>
    <mergeCell ref="B23:E23"/>
    <mergeCell ref="B24:E24"/>
    <mergeCell ref="X8:X9"/>
    <mergeCell ref="Y8:Y9"/>
    <mergeCell ref="Z8:Z9"/>
    <mergeCell ref="AA8:AA9"/>
    <mergeCell ref="AB8:AB9"/>
    <mergeCell ref="AC8:AC9"/>
    <mergeCell ref="Q8:Q9"/>
    <mergeCell ref="R8:R9"/>
    <mergeCell ref="S8:S9"/>
    <mergeCell ref="T8:T9"/>
    <mergeCell ref="U8:U9"/>
    <mergeCell ref="W8:W9"/>
    <mergeCell ref="K8:K9"/>
    <mergeCell ref="L8:L9"/>
    <mergeCell ref="M8:M9"/>
    <mergeCell ref="AJ7:AJ9"/>
    <mergeCell ref="AK7:AK9"/>
    <mergeCell ref="AL7:AL9"/>
    <mergeCell ref="AM7:AM9"/>
    <mergeCell ref="AN7:AN9"/>
    <mergeCell ref="D8:E8"/>
    <mergeCell ref="F8:F9"/>
    <mergeCell ref="G8:G9"/>
    <mergeCell ref="H8:H9"/>
    <mergeCell ref="I8:I9"/>
    <mergeCell ref="J8:J9"/>
    <mergeCell ref="N8:N9"/>
    <mergeCell ref="O8:O9"/>
    <mergeCell ref="P8:P9"/>
    <mergeCell ref="A1:AU1"/>
    <mergeCell ref="B2:E2"/>
    <mergeCell ref="B3:E3"/>
    <mergeCell ref="B4:E4"/>
    <mergeCell ref="A6:A9"/>
    <mergeCell ref="B6:B9"/>
    <mergeCell ref="C6:C9"/>
    <mergeCell ref="D6:V6"/>
    <mergeCell ref="W6:AF6"/>
    <mergeCell ref="AG6:AQ6"/>
    <mergeCell ref="AR6:AT6"/>
    <mergeCell ref="AU6:AU9"/>
    <mergeCell ref="D7:P7"/>
    <mergeCell ref="Q7:U7"/>
    <mergeCell ref="V7:V9"/>
    <mergeCell ref="W7:Z7"/>
    <mergeCell ref="AA7:AE7"/>
    <mergeCell ref="AF7:AF9"/>
    <mergeCell ref="AG7:AG9"/>
    <mergeCell ref="AH7:AH9"/>
    <mergeCell ref="AR7:AR9"/>
    <mergeCell ref="AS7:AS9"/>
    <mergeCell ref="AT7:AT9"/>
    <mergeCell ref="AI7:AI9"/>
  </mergeCells>
  <pageMargins left="0.7" right="0.7" top="0.75" bottom="0.75" header="0.3" footer="0.3"/>
  <ignoredErrors>
    <ignoredError sqref="C12 D12:AU14 AU33 C34:AU35 C33:AT33" unlockedFormula="1"/>
    <ignoredError sqref="B25" numberStoredAsText="1"/>
  </ignoredError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9885-1D87-4643-8A1C-8BE0361C95FF}">
  <dimension ref="A1:AY48"/>
  <sheetViews>
    <sheetView workbookViewId="0">
      <selection activeCell="AV27" sqref="AV27"/>
    </sheetView>
  </sheetViews>
  <sheetFormatPr baseColWidth="10" defaultRowHeight="16" x14ac:dyDescent="0.2"/>
  <cols>
    <col min="1" max="1" width="58" customWidth="1"/>
    <col min="2" max="3" width="11.1640625" bestFit="1" customWidth="1"/>
    <col min="4" max="4" width="16.33203125" bestFit="1" customWidth="1"/>
    <col min="5" max="5" width="24" customWidth="1"/>
    <col min="6" max="7" width="16.33203125" bestFit="1" customWidth="1"/>
    <col min="8" max="9" width="15.1640625" bestFit="1" customWidth="1"/>
    <col min="10" max="11" width="17.83203125" bestFit="1" customWidth="1"/>
    <col min="12" max="12" width="16.33203125" bestFit="1" customWidth="1"/>
    <col min="13" max="14" width="17.83203125" bestFit="1" customWidth="1"/>
    <col min="15" max="15" width="11.1640625" bestFit="1" customWidth="1"/>
    <col min="16" max="16" width="18.83203125" bestFit="1" customWidth="1"/>
    <col min="17" max="21" width="11.1640625" bestFit="1" customWidth="1"/>
    <col min="22" max="22" width="18.83203125" bestFit="1" customWidth="1"/>
    <col min="23" max="23" width="17.83203125" bestFit="1" customWidth="1"/>
    <col min="24" max="25" width="16.33203125" bestFit="1" customWidth="1"/>
    <col min="26" max="26" width="17.83203125" bestFit="1" customWidth="1"/>
    <col min="27" max="31" width="11.1640625" bestFit="1" customWidth="1"/>
    <col min="32" max="36" width="17.83203125" bestFit="1" customWidth="1"/>
    <col min="37" max="37" width="16.33203125" bestFit="1" customWidth="1"/>
    <col min="38" max="38" width="17.83203125" bestFit="1" customWidth="1"/>
    <col min="39" max="41" width="16.33203125" bestFit="1" customWidth="1"/>
    <col min="42" max="42" width="11.1640625" bestFit="1" customWidth="1"/>
    <col min="43" max="43" width="18.83203125" bestFit="1" customWidth="1"/>
    <col min="44" max="46" width="16.33203125" bestFit="1" customWidth="1"/>
    <col min="47" max="47" width="18.83203125" bestFit="1" customWidth="1"/>
    <col min="51" max="51" width="19.6640625" bestFit="1" customWidth="1"/>
  </cols>
  <sheetData>
    <row r="1" spans="1:47" ht="15" customHeight="1" x14ac:dyDescent="0.2">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row>
    <row r="2" spans="1:47" ht="15" customHeight="1" x14ac:dyDescent="0.2">
      <c r="A2" s="44" t="s">
        <v>64</v>
      </c>
      <c r="B2" s="113" t="s">
        <v>67</v>
      </c>
      <c r="C2" s="113"/>
      <c r="D2" s="113"/>
      <c r="E2" s="113"/>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row>
    <row r="3" spans="1:47" ht="15" customHeight="1" x14ac:dyDescent="0.2">
      <c r="A3" s="44" t="s">
        <v>65</v>
      </c>
      <c r="B3" s="114" t="s">
        <v>82</v>
      </c>
      <c r="C3" s="114"/>
      <c r="D3" s="114"/>
      <c r="E3" s="114"/>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row>
    <row r="4" spans="1:47" ht="15" customHeight="1" x14ac:dyDescent="0.2">
      <c r="A4" s="44" t="s">
        <v>66</v>
      </c>
      <c r="B4" s="115">
        <v>2021</v>
      </c>
      <c r="C4" s="115"/>
      <c r="D4" s="115"/>
      <c r="E4" s="115"/>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row>
    <row r="5" spans="1:47" ht="15" customHeight="1" thickBot="1" x14ac:dyDescent="0.25">
      <c r="A5" s="2"/>
      <c r="B5" s="2"/>
      <c r="C5" s="2"/>
      <c r="D5" s="2"/>
      <c r="E5" s="2"/>
      <c r="F5" s="2"/>
      <c r="G5" s="2"/>
      <c r="H5" s="2"/>
      <c r="I5" s="2"/>
      <c r="J5" s="2"/>
      <c r="K5" s="2"/>
      <c r="L5" s="2"/>
      <c r="M5" s="2"/>
      <c r="N5" s="2"/>
      <c r="O5" s="2"/>
      <c r="P5" s="2"/>
      <c r="Q5" s="2"/>
      <c r="R5" s="2"/>
      <c r="S5" s="2"/>
      <c r="T5" s="2"/>
      <c r="U5" s="2"/>
      <c r="V5" s="2"/>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thickTop="1" x14ac:dyDescent="0.2">
      <c r="A6" s="116" t="s">
        <v>0</v>
      </c>
      <c r="B6" s="118" t="s">
        <v>1</v>
      </c>
      <c r="C6" s="120" t="s">
        <v>2</v>
      </c>
      <c r="D6" s="119" t="s">
        <v>3</v>
      </c>
      <c r="E6" s="122"/>
      <c r="F6" s="122"/>
      <c r="G6" s="122"/>
      <c r="H6" s="122"/>
      <c r="I6" s="122"/>
      <c r="J6" s="122"/>
      <c r="K6" s="122"/>
      <c r="L6" s="122"/>
      <c r="M6" s="122"/>
      <c r="N6" s="122"/>
      <c r="O6" s="122"/>
      <c r="P6" s="122"/>
      <c r="Q6" s="123"/>
      <c r="R6" s="123"/>
      <c r="S6" s="123"/>
      <c r="T6" s="123"/>
      <c r="U6" s="123"/>
      <c r="V6" s="124"/>
      <c r="W6" s="125" t="s">
        <v>4</v>
      </c>
      <c r="X6" s="126"/>
      <c r="Y6" s="126"/>
      <c r="Z6" s="126"/>
      <c r="AA6" s="126"/>
      <c r="AB6" s="126"/>
      <c r="AC6" s="126"/>
      <c r="AD6" s="126"/>
      <c r="AE6" s="126"/>
      <c r="AF6" s="127"/>
      <c r="AG6" s="125" t="s">
        <v>5</v>
      </c>
      <c r="AH6" s="126"/>
      <c r="AI6" s="126"/>
      <c r="AJ6" s="126"/>
      <c r="AK6" s="126"/>
      <c r="AL6" s="126"/>
      <c r="AM6" s="126"/>
      <c r="AN6" s="126"/>
      <c r="AO6" s="126"/>
      <c r="AP6" s="126"/>
      <c r="AQ6" s="127"/>
      <c r="AR6" s="119" t="s">
        <v>6</v>
      </c>
      <c r="AS6" s="122"/>
      <c r="AT6" s="117"/>
      <c r="AU6" s="128" t="s">
        <v>7</v>
      </c>
    </row>
    <row r="7" spans="1:47" ht="15" customHeight="1" x14ac:dyDescent="0.2">
      <c r="A7" s="117"/>
      <c r="B7" s="119"/>
      <c r="C7" s="119"/>
      <c r="D7" s="130" t="s">
        <v>8</v>
      </c>
      <c r="E7" s="131"/>
      <c r="F7" s="131"/>
      <c r="G7" s="131"/>
      <c r="H7" s="131"/>
      <c r="I7" s="131"/>
      <c r="J7" s="131"/>
      <c r="K7" s="131"/>
      <c r="L7" s="131"/>
      <c r="M7" s="131"/>
      <c r="N7" s="131"/>
      <c r="O7" s="131"/>
      <c r="P7" s="132"/>
      <c r="Q7" s="130" t="s">
        <v>9</v>
      </c>
      <c r="R7" s="131"/>
      <c r="S7" s="131"/>
      <c r="T7" s="131"/>
      <c r="U7" s="132"/>
      <c r="V7" s="133" t="s">
        <v>10</v>
      </c>
      <c r="W7" s="130" t="s">
        <v>11</v>
      </c>
      <c r="X7" s="131"/>
      <c r="Y7" s="131"/>
      <c r="Z7" s="132"/>
      <c r="AA7" s="130" t="s">
        <v>12</v>
      </c>
      <c r="AB7" s="131"/>
      <c r="AC7" s="131"/>
      <c r="AD7" s="131"/>
      <c r="AE7" s="132"/>
      <c r="AF7" s="133" t="s">
        <v>10</v>
      </c>
      <c r="AG7" s="121" t="s">
        <v>13</v>
      </c>
      <c r="AH7" s="121" t="s">
        <v>14</v>
      </c>
      <c r="AI7" s="121" t="s">
        <v>15</v>
      </c>
      <c r="AJ7" s="121" t="s">
        <v>16</v>
      </c>
      <c r="AK7" s="121" t="s">
        <v>17</v>
      </c>
      <c r="AL7" s="121" t="s">
        <v>18</v>
      </c>
      <c r="AM7" s="121" t="s">
        <v>19</v>
      </c>
      <c r="AN7" s="121" t="s">
        <v>20</v>
      </c>
      <c r="AO7" s="121" t="s">
        <v>21</v>
      </c>
      <c r="AP7" s="121" t="s">
        <v>22</v>
      </c>
      <c r="AQ7" s="121" t="s">
        <v>10</v>
      </c>
      <c r="AR7" s="134" t="s">
        <v>23</v>
      </c>
      <c r="AS7" s="134" t="s">
        <v>24</v>
      </c>
      <c r="AT7" s="134" t="s">
        <v>25</v>
      </c>
      <c r="AU7" s="129"/>
    </row>
    <row r="8" spans="1:47" ht="15" customHeight="1" x14ac:dyDescent="0.2">
      <c r="A8" s="117"/>
      <c r="B8" s="119"/>
      <c r="C8" s="121"/>
      <c r="D8" s="130" t="s">
        <v>26</v>
      </c>
      <c r="E8" s="132"/>
      <c r="F8" s="133" t="s">
        <v>27</v>
      </c>
      <c r="G8" s="133" t="s">
        <v>28</v>
      </c>
      <c r="H8" s="133" t="s">
        <v>29</v>
      </c>
      <c r="I8" s="133" t="s">
        <v>30</v>
      </c>
      <c r="J8" s="133" t="s">
        <v>31</v>
      </c>
      <c r="K8" s="133" t="s">
        <v>32</v>
      </c>
      <c r="L8" s="133" t="s">
        <v>33</v>
      </c>
      <c r="M8" s="133" t="s">
        <v>34</v>
      </c>
      <c r="N8" s="133" t="s">
        <v>35</v>
      </c>
      <c r="O8" s="133" t="s">
        <v>36</v>
      </c>
      <c r="P8" s="133" t="s">
        <v>37</v>
      </c>
      <c r="Q8" s="133" t="s">
        <v>38</v>
      </c>
      <c r="R8" s="133" t="s">
        <v>39</v>
      </c>
      <c r="S8" s="133" t="s">
        <v>40</v>
      </c>
      <c r="T8" s="133" t="s">
        <v>41</v>
      </c>
      <c r="U8" s="133" t="s">
        <v>42</v>
      </c>
      <c r="V8" s="121"/>
      <c r="W8" s="133" t="s">
        <v>43</v>
      </c>
      <c r="X8" s="133" t="s">
        <v>44</v>
      </c>
      <c r="Y8" s="133" t="s">
        <v>45</v>
      </c>
      <c r="Z8" s="133" t="s">
        <v>37</v>
      </c>
      <c r="AA8" s="133" t="s">
        <v>46</v>
      </c>
      <c r="AB8" s="133" t="s">
        <v>47</v>
      </c>
      <c r="AC8" s="133" t="s">
        <v>48</v>
      </c>
      <c r="AD8" s="133" t="s">
        <v>49</v>
      </c>
      <c r="AE8" s="133" t="s">
        <v>42</v>
      </c>
      <c r="AF8" s="121"/>
      <c r="AG8" s="121"/>
      <c r="AH8" s="121"/>
      <c r="AI8" s="121"/>
      <c r="AJ8" s="121"/>
      <c r="AK8" s="121"/>
      <c r="AL8" s="121"/>
      <c r="AM8" s="121"/>
      <c r="AN8" s="121"/>
      <c r="AO8" s="121" t="s">
        <v>50</v>
      </c>
      <c r="AP8" s="121" t="s">
        <v>50</v>
      </c>
      <c r="AQ8" s="121" t="s">
        <v>50</v>
      </c>
      <c r="AR8" s="134"/>
      <c r="AS8" s="134"/>
      <c r="AT8" s="134"/>
      <c r="AU8" s="129"/>
    </row>
    <row r="9" spans="1:47" ht="17" customHeight="1" x14ac:dyDescent="0.2">
      <c r="A9" s="117"/>
      <c r="B9" s="119"/>
      <c r="C9" s="121"/>
      <c r="D9" s="133" t="s">
        <v>62</v>
      </c>
      <c r="E9" s="3" t="s">
        <v>51</v>
      </c>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t="s">
        <v>52</v>
      </c>
      <c r="AP9" s="121" t="s">
        <v>52</v>
      </c>
      <c r="AQ9" s="121" t="s">
        <v>52</v>
      </c>
      <c r="AR9" s="134"/>
      <c r="AS9" s="134"/>
      <c r="AT9" s="134"/>
      <c r="AU9" s="129"/>
    </row>
    <row r="10" spans="1:47" ht="15" customHeight="1" thickBot="1" x14ac:dyDescent="0.25">
      <c r="A10" s="4">
        <v>1</v>
      </c>
      <c r="B10" s="5">
        <v>2</v>
      </c>
      <c r="C10" s="6">
        <v>3</v>
      </c>
      <c r="D10" s="135"/>
      <c r="E10" s="4">
        <v>4.0999999999999996</v>
      </c>
      <c r="F10" s="4">
        <v>4.2</v>
      </c>
      <c r="G10" s="4">
        <v>4.3</v>
      </c>
      <c r="H10" s="4">
        <v>4.4000000000000004</v>
      </c>
      <c r="I10" s="4">
        <v>4.5</v>
      </c>
      <c r="J10" s="4">
        <v>4.5999999999999996</v>
      </c>
      <c r="K10" s="4">
        <v>4.7</v>
      </c>
      <c r="L10" s="4">
        <v>4.8</v>
      </c>
      <c r="M10" s="4">
        <v>4.9000000000000004</v>
      </c>
      <c r="N10" s="7">
        <v>4.0999999999999996</v>
      </c>
      <c r="O10" s="4">
        <v>4.1100000000000003</v>
      </c>
      <c r="P10" s="4">
        <v>4</v>
      </c>
      <c r="Q10" s="6">
        <v>5.0999999999999996</v>
      </c>
      <c r="R10" s="4">
        <v>5.2</v>
      </c>
      <c r="S10" s="4">
        <v>5.3</v>
      </c>
      <c r="T10" s="4">
        <v>5.4</v>
      </c>
      <c r="U10" s="4">
        <v>5</v>
      </c>
      <c r="V10" s="4" t="s">
        <v>53</v>
      </c>
      <c r="W10" s="4">
        <v>7.1</v>
      </c>
      <c r="X10" s="4">
        <v>7.2</v>
      </c>
      <c r="Y10" s="4">
        <v>7.3</v>
      </c>
      <c r="Z10" s="4">
        <v>7</v>
      </c>
      <c r="AA10" s="4">
        <v>8.1</v>
      </c>
      <c r="AB10" s="4">
        <v>8.1999999999999993</v>
      </c>
      <c r="AC10" s="4">
        <v>8.3000000000000007</v>
      </c>
      <c r="AD10" s="4">
        <v>8.4</v>
      </c>
      <c r="AE10" s="4">
        <v>8</v>
      </c>
      <c r="AF10" s="4" t="s">
        <v>54</v>
      </c>
      <c r="AG10" s="4">
        <v>10.1</v>
      </c>
      <c r="AH10" s="4">
        <v>10.199999999999999</v>
      </c>
      <c r="AI10" s="4">
        <v>10.3</v>
      </c>
      <c r="AJ10" s="4">
        <v>10.4</v>
      </c>
      <c r="AK10" s="4">
        <v>10.5</v>
      </c>
      <c r="AL10" s="4">
        <v>10.6</v>
      </c>
      <c r="AM10" s="4">
        <v>10.7</v>
      </c>
      <c r="AN10" s="4">
        <v>10.8</v>
      </c>
      <c r="AO10" s="4">
        <v>10.9</v>
      </c>
      <c r="AP10" s="7">
        <v>10.1</v>
      </c>
      <c r="AQ10" s="4">
        <v>10</v>
      </c>
      <c r="AR10" s="8">
        <v>11.1</v>
      </c>
      <c r="AS10" s="8">
        <v>11.2</v>
      </c>
      <c r="AT10" s="8" t="s">
        <v>55</v>
      </c>
      <c r="AU10" s="9" t="s">
        <v>56</v>
      </c>
    </row>
    <row r="11" spans="1:47" ht="15" customHeight="1" thickTop="1" thickBot="1" x14ac:dyDescent="0.25">
      <c r="A11" s="10" t="s">
        <v>57</v>
      </c>
      <c r="B11" s="11"/>
      <c r="C11" s="12"/>
      <c r="D11" s="13"/>
      <c r="E11" s="13"/>
      <c r="F11" s="13"/>
      <c r="G11" s="13"/>
      <c r="H11" s="13"/>
      <c r="I11" s="14"/>
      <c r="J11" s="14"/>
      <c r="K11" s="14"/>
      <c r="L11" s="15"/>
      <c r="M11" s="13"/>
      <c r="N11" s="13"/>
      <c r="O11" s="13"/>
      <c r="P11" s="13"/>
      <c r="Q11" s="13"/>
      <c r="R11" s="13"/>
      <c r="S11" s="14"/>
      <c r="T11" s="14"/>
      <c r="U11" s="15"/>
      <c r="V11" s="14"/>
      <c r="W11" s="14"/>
      <c r="X11" s="15"/>
      <c r="Y11" s="13"/>
      <c r="Z11" s="13"/>
      <c r="AA11" s="13"/>
      <c r="AB11" s="13"/>
      <c r="AC11" s="13"/>
      <c r="AD11" s="13"/>
      <c r="AE11" s="13"/>
      <c r="AF11" s="13"/>
      <c r="AG11" s="13"/>
      <c r="AH11" s="13"/>
      <c r="AI11" s="13"/>
      <c r="AJ11" s="13"/>
      <c r="AK11" s="13"/>
      <c r="AL11" s="13"/>
      <c r="AM11" s="14"/>
      <c r="AN11" s="14"/>
      <c r="AO11" s="15"/>
      <c r="AP11" s="14"/>
      <c r="AQ11" s="15"/>
      <c r="AR11" s="16"/>
      <c r="AS11" s="16"/>
      <c r="AT11" s="16"/>
      <c r="AU11" s="15"/>
    </row>
    <row r="12" spans="1:47" ht="18" customHeight="1" thickTop="1" thickBot="1" x14ac:dyDescent="0.25">
      <c r="A12" s="32" t="s">
        <v>70</v>
      </c>
      <c r="B12" s="32"/>
      <c r="C12" s="36">
        <f>C13</f>
        <v>1</v>
      </c>
      <c r="D12" s="59">
        <f t="shared" ref="D12:AU12" si="0">D13</f>
        <v>6308715</v>
      </c>
      <c r="E12" s="59">
        <f t="shared" si="0"/>
        <v>75704580</v>
      </c>
      <c r="F12" s="59">
        <f t="shared" si="0"/>
        <v>0</v>
      </c>
      <c r="G12" s="59">
        <f t="shared" si="0"/>
        <v>0</v>
      </c>
      <c r="H12" s="59">
        <f t="shared" si="0"/>
        <v>0</v>
      </c>
      <c r="I12" s="59">
        <f t="shared" si="0"/>
        <v>0</v>
      </c>
      <c r="J12" s="59">
        <f t="shared" si="0"/>
        <v>3162024.3411458335</v>
      </c>
      <c r="K12" s="59">
        <f t="shared" si="0"/>
        <v>2208050.25</v>
      </c>
      <c r="L12" s="59">
        <f t="shared" si="0"/>
        <v>0</v>
      </c>
      <c r="M12" s="59">
        <f t="shared" si="0"/>
        <v>7056376.5255895536</v>
      </c>
      <c r="N12" s="59">
        <f t="shared" si="0"/>
        <v>3601863.7159288195</v>
      </c>
      <c r="O12" s="59">
        <f t="shared" si="0"/>
        <v>0</v>
      </c>
      <c r="P12" s="59">
        <f t="shared" si="0"/>
        <v>91732894.832664207</v>
      </c>
      <c r="Q12" s="59">
        <f t="shared" si="0"/>
        <v>0</v>
      </c>
      <c r="R12" s="59">
        <f t="shared" si="0"/>
        <v>0</v>
      </c>
      <c r="S12" s="59">
        <f t="shared" si="0"/>
        <v>0</v>
      </c>
      <c r="T12" s="59">
        <f t="shared" si="0"/>
        <v>0</v>
      </c>
      <c r="U12" s="59">
        <f t="shared" si="0"/>
        <v>0</v>
      </c>
      <c r="V12" s="59">
        <f t="shared" si="0"/>
        <v>91732894.832664207</v>
      </c>
      <c r="W12" s="59">
        <f t="shared" si="0"/>
        <v>2761428.8488787618</v>
      </c>
      <c r="X12" s="59">
        <f t="shared" si="0"/>
        <v>0</v>
      </c>
      <c r="Y12" s="59">
        <f t="shared" si="0"/>
        <v>420581</v>
      </c>
      <c r="Z12" s="59">
        <f t="shared" si="0"/>
        <v>3182009.8488787618</v>
      </c>
      <c r="AA12" s="59">
        <f t="shared" si="0"/>
        <v>0</v>
      </c>
      <c r="AB12" s="59">
        <f t="shared" si="0"/>
        <v>0</v>
      </c>
      <c r="AC12" s="59">
        <f t="shared" si="0"/>
        <v>0</v>
      </c>
      <c r="AD12" s="59">
        <f t="shared" si="0"/>
        <v>0</v>
      </c>
      <c r="AE12" s="59">
        <f t="shared" si="0"/>
        <v>0</v>
      </c>
      <c r="AF12" s="59">
        <f t="shared" si="0"/>
        <v>0</v>
      </c>
      <c r="AG12" s="59">
        <f t="shared" si="0"/>
        <v>9084549.5999999996</v>
      </c>
      <c r="AH12" s="59">
        <f t="shared" si="0"/>
        <v>6450529.6559375003</v>
      </c>
      <c r="AI12" s="59">
        <f t="shared" si="0"/>
        <v>6324048.682291667</v>
      </c>
      <c r="AJ12" s="59">
        <f t="shared" si="0"/>
        <v>3501552.3473876934</v>
      </c>
      <c r="AK12" s="59">
        <f t="shared" si="0"/>
        <v>507275.96055048658</v>
      </c>
      <c r="AL12" s="59">
        <f t="shared" si="0"/>
        <v>2652287.2757912921</v>
      </c>
      <c r="AM12" s="59">
        <f t="shared" si="0"/>
        <v>494878.36068997101</v>
      </c>
      <c r="AN12" s="59">
        <f t="shared" si="0"/>
        <v>494878.36068997101</v>
      </c>
      <c r="AO12" s="59">
        <f t="shared" si="0"/>
        <v>910846.54134159815</v>
      </c>
      <c r="AP12" s="59">
        <f t="shared" si="0"/>
        <v>0</v>
      </c>
      <c r="AQ12" s="59">
        <f t="shared" si="0"/>
        <v>30420846.78468018</v>
      </c>
      <c r="AR12" s="59">
        <f t="shared" si="0"/>
        <v>329022.20257091254</v>
      </c>
      <c r="AS12" s="59">
        <f t="shared" si="0"/>
        <v>310327.90639587527</v>
      </c>
      <c r="AT12" s="59">
        <f t="shared" si="0"/>
        <v>639350.10896678781</v>
      </c>
      <c r="AU12" s="59">
        <f t="shared" si="0"/>
        <v>122153741.61734438</v>
      </c>
    </row>
    <row r="13" spans="1:47" ht="15" customHeight="1" thickTop="1" thickBot="1" x14ac:dyDescent="0.25">
      <c r="A13" s="52" t="s">
        <v>71</v>
      </c>
      <c r="B13" s="62" t="s">
        <v>76</v>
      </c>
      <c r="C13" s="58">
        <v>1</v>
      </c>
      <c r="D13" s="53">
        <v>6308715</v>
      </c>
      <c r="E13" s="54">
        <f t="shared" ref="E13" si="1">D13*C13*12</f>
        <v>75704580</v>
      </c>
      <c r="F13" s="54"/>
      <c r="G13" s="54"/>
      <c r="H13" s="54">
        <f t="shared" ref="H13" si="2">(IF(D13&gt;=1853502,0,66098))*12</f>
        <v>0</v>
      </c>
      <c r="I13" s="54">
        <f t="shared" ref="I13" si="3">+(IF(D13&lt;(877803*2),102854,0)*12)</f>
        <v>0</v>
      </c>
      <c r="J13" s="54">
        <f t="shared" ref="J13" si="4">+(E13+H13+I13+(K13/12))/24</f>
        <v>3162024.3411458335</v>
      </c>
      <c r="K13" s="54">
        <f>+IF(D13&lt;1853502,(((D13+(F13/12)+(G13/12))*0.5))*C13,(((D13+(F13/12)+(G13/12))*0.35))*C13)</f>
        <v>2208050.25</v>
      </c>
      <c r="L13" s="54">
        <v>0</v>
      </c>
      <c r="M13" s="54">
        <f>+(E13/12)+J13/12+K13/12+N13/12</f>
        <v>7056376.5255895536</v>
      </c>
      <c r="N13" s="54">
        <f t="shared" ref="N13" si="5">+(((D13+(F13/12)+(G13/12))/2+J13/12+K13/12)*C13)</f>
        <v>3601863.7159288195</v>
      </c>
      <c r="O13" s="54"/>
      <c r="P13" s="54">
        <f t="shared" ref="P13" si="6">SUM(E13:O13)</f>
        <v>91732894.832664207</v>
      </c>
      <c r="Q13" s="54"/>
      <c r="R13" s="54"/>
      <c r="S13" s="54"/>
      <c r="T13" s="54"/>
      <c r="U13" s="54">
        <f t="shared" ref="U13" si="7">SUM(Q13:T13)</f>
        <v>0</v>
      </c>
      <c r="V13" s="54">
        <f t="shared" ref="V13" si="8">P13+U13</f>
        <v>91732894.832664207</v>
      </c>
      <c r="W13" s="54">
        <f t="shared" ref="W13" si="9">+(((D13+(F13/12)+(G13/12))/2+(J13/12)+(K13/12))*23/30)*C13</f>
        <v>2761428.8488787618</v>
      </c>
      <c r="X13" s="54">
        <v>0</v>
      </c>
      <c r="Y13" s="54">
        <f t="shared" ref="Y13" si="10">+((D13/30)*2)*C13</f>
        <v>420581</v>
      </c>
      <c r="Z13" s="54">
        <f t="shared" ref="Z13" si="11">SUM(W13:Y13)</f>
        <v>3182009.8488787618</v>
      </c>
      <c r="AA13" s="54"/>
      <c r="AB13" s="54"/>
      <c r="AC13" s="54"/>
      <c r="AD13" s="54"/>
      <c r="AE13" s="54">
        <f t="shared" ref="AE13" si="12">SUM(AA13:AD13)</f>
        <v>0</v>
      </c>
      <c r="AF13" s="54">
        <f t="shared" ref="AF13" si="13">SUM(AA13:AD13)</f>
        <v>0</v>
      </c>
      <c r="AG13" s="54">
        <f t="shared" ref="AG13" si="14">+(((D13+H13/12)*12%)*12)*C13</f>
        <v>9084549.5999999996</v>
      </c>
      <c r="AH13" s="54">
        <f t="shared" ref="AH13" si="15">+(E13+H13+I13+K13/12)*0.085</f>
        <v>6450529.6559375003</v>
      </c>
      <c r="AI13" s="54">
        <f t="shared" ref="AI13" si="16">(E13+H13+I13+K13/12)/12</f>
        <v>6324048.682291667</v>
      </c>
      <c r="AJ13" s="55">
        <f t="shared" ref="AJ13" si="17">+((D13*0.0462528468870403)*C13)*12</f>
        <v>3501552.3473876934</v>
      </c>
      <c r="AK13" s="55">
        <f t="shared" ref="AK13" si="18">+((D13*0.00670073013482786)*C13)*12</f>
        <v>507275.96055048658</v>
      </c>
      <c r="AL13" s="54">
        <f t="shared" ref="AL13" si="19">+(((D13*0.0350347003548701)*C13)*12)</f>
        <v>2652287.2757912921</v>
      </c>
      <c r="AM13" s="55">
        <f t="shared" ref="AM13" si="20">+(((D13*0.00653696725733068)*C13)*12)</f>
        <v>494878.36068997101</v>
      </c>
      <c r="AN13" s="55">
        <f t="shared" ref="AN13" si="21">+(((D13*0.00653696725733068)*C13)*12)</f>
        <v>494878.36068997101</v>
      </c>
      <c r="AO13" s="54">
        <f t="shared" ref="AO13" si="22">+(((D13*0.0120315909729847)*C13)*12)</f>
        <v>910846.54134159815</v>
      </c>
      <c r="AP13" s="54">
        <v>0</v>
      </c>
      <c r="AQ13" s="56">
        <f t="shared" ref="AQ13" si="23">SUM(AG13:AP13)</f>
        <v>30420846.78468018</v>
      </c>
      <c r="AR13" s="55">
        <f t="shared" ref="AR13" si="24">+(((D13*0.00434613338546905)*C13)*12)</f>
        <v>329022.20257091254</v>
      </c>
      <c r="AS13" s="55">
        <f t="shared" ref="AS13" si="25">+((D13*0.00409919593234485)*C13)*12</f>
        <v>310327.90639587527</v>
      </c>
      <c r="AT13" s="55">
        <f t="shared" ref="AT13" si="26">SUM(AR13:AS13)</f>
        <v>639350.10896678781</v>
      </c>
      <c r="AU13" s="57">
        <f t="shared" ref="AU13" si="27">V13+AF13+AQ13</f>
        <v>122153741.61734438</v>
      </c>
    </row>
    <row r="14" spans="1:47" ht="15" customHeight="1" thickTop="1" thickBot="1" x14ac:dyDescent="0.25">
      <c r="A14" s="50" t="s">
        <v>72</v>
      </c>
      <c r="B14" s="51"/>
      <c r="C14" s="36">
        <f>SUM(C15:C16)</f>
        <v>4</v>
      </c>
      <c r="D14" s="59">
        <f t="shared" ref="D14:AU14" si="28">SUM(D15:D16)</f>
        <v>2227745</v>
      </c>
      <c r="E14" s="59">
        <f t="shared" si="28"/>
        <v>53465880</v>
      </c>
      <c r="F14" s="59">
        <f t="shared" si="28"/>
        <v>0</v>
      </c>
      <c r="G14" s="59">
        <f t="shared" si="28"/>
        <v>0</v>
      </c>
      <c r="H14" s="59">
        <f t="shared" si="28"/>
        <v>1586352</v>
      </c>
      <c r="I14" s="59">
        <f t="shared" si="28"/>
        <v>2468496</v>
      </c>
      <c r="J14" s="59">
        <f t="shared" si="28"/>
        <v>2404432.2256944445</v>
      </c>
      <c r="K14" s="59">
        <f t="shared" si="28"/>
        <v>2227745</v>
      </c>
      <c r="L14" s="59">
        <f t="shared" si="28"/>
        <v>11138725</v>
      </c>
      <c r="M14" s="59">
        <f t="shared" si="28"/>
        <v>5042569.8478662316</v>
      </c>
      <c r="N14" s="59">
        <f t="shared" si="28"/>
        <v>2412780.9487003279</v>
      </c>
      <c r="O14" s="59">
        <f t="shared" si="28"/>
        <v>0</v>
      </c>
      <c r="P14" s="59">
        <f t="shared" si="28"/>
        <v>80746981.022261009</v>
      </c>
      <c r="Q14" s="59">
        <f t="shared" si="28"/>
        <v>0</v>
      </c>
      <c r="R14" s="59">
        <f t="shared" si="28"/>
        <v>0</v>
      </c>
      <c r="S14" s="59">
        <f t="shared" si="28"/>
        <v>0</v>
      </c>
      <c r="T14" s="59">
        <f t="shared" si="28"/>
        <v>0</v>
      </c>
      <c r="U14" s="59">
        <f t="shared" si="28"/>
        <v>0</v>
      </c>
      <c r="V14" s="59">
        <f t="shared" si="28"/>
        <v>80746981.022261009</v>
      </c>
      <c r="W14" s="59">
        <f t="shared" si="28"/>
        <v>3341617.5</v>
      </c>
      <c r="X14" s="59">
        <f t="shared" si="28"/>
        <v>0</v>
      </c>
      <c r="Y14" s="59">
        <f t="shared" si="28"/>
        <v>297032.66666666669</v>
      </c>
      <c r="Z14" s="59">
        <f t="shared" si="28"/>
        <v>3638650.166666667</v>
      </c>
      <c r="AA14" s="59">
        <f t="shared" si="28"/>
        <v>0</v>
      </c>
      <c r="AB14" s="59">
        <f t="shared" si="28"/>
        <v>0</v>
      </c>
      <c r="AC14" s="59">
        <f t="shared" si="28"/>
        <v>0</v>
      </c>
      <c r="AD14" s="59">
        <f t="shared" si="28"/>
        <v>0</v>
      </c>
      <c r="AE14" s="59">
        <f t="shared" si="28"/>
        <v>0</v>
      </c>
      <c r="AF14" s="59">
        <f t="shared" si="28"/>
        <v>3638650.166666667</v>
      </c>
      <c r="AG14" s="59">
        <f t="shared" si="28"/>
        <v>6796630.0800000001</v>
      </c>
      <c r="AH14" s="59">
        <f t="shared" si="28"/>
        <v>4905041.7404166674</v>
      </c>
      <c r="AI14" s="59">
        <f t="shared" si="28"/>
        <v>4808864.451388889</v>
      </c>
      <c r="AJ14" s="59">
        <f t="shared" si="28"/>
        <v>2472949.1613208703</v>
      </c>
      <c r="AK14" s="59">
        <f t="shared" si="28"/>
        <v>358260.43330109015</v>
      </c>
      <c r="AL14" s="59">
        <f t="shared" si="28"/>
        <v>1873161.0850094422</v>
      </c>
      <c r="AM14" s="59">
        <f t="shared" si="28"/>
        <v>349504.70694437122</v>
      </c>
      <c r="AN14" s="59">
        <f t="shared" si="28"/>
        <v>349504.70694437122</v>
      </c>
      <c r="AO14" s="59">
        <f t="shared" si="28"/>
        <v>643279.59917068318</v>
      </c>
      <c r="AP14" s="59">
        <f t="shared" si="28"/>
        <v>0</v>
      </c>
      <c r="AQ14" s="59">
        <f t="shared" si="28"/>
        <v>22557195.964496389</v>
      </c>
      <c r="AR14" s="59">
        <f t="shared" si="28"/>
        <v>232369.84605148199</v>
      </c>
      <c r="AS14" s="59">
        <f t="shared" si="28"/>
        <v>219167.11781523784</v>
      </c>
      <c r="AT14" s="59">
        <f t="shared" si="28"/>
        <v>451536.96386671986</v>
      </c>
      <c r="AU14" s="59">
        <f t="shared" si="28"/>
        <v>106942827.15342407</v>
      </c>
    </row>
    <row r="15" spans="1:47" ht="15" customHeight="1" thickTop="1" x14ac:dyDescent="0.2">
      <c r="A15" s="24" t="s">
        <v>73</v>
      </c>
      <c r="B15" s="62" t="s">
        <v>77</v>
      </c>
      <c r="C15" s="22">
        <v>2</v>
      </c>
      <c r="D15" s="17">
        <v>1047282</v>
      </c>
      <c r="E15" s="17">
        <f t="shared" ref="E15:E16" si="29">D15*C15*12</f>
        <v>25134768</v>
      </c>
      <c r="F15" s="17">
        <v>0</v>
      </c>
      <c r="G15" s="17"/>
      <c r="H15" s="17">
        <f t="shared" ref="H15:H16" si="30">(IF(D15&gt;=1853502,0,66098))*12</f>
        <v>793176</v>
      </c>
      <c r="I15" s="17">
        <f t="shared" ref="I15:I16" si="31">+(IF(D15&lt;(877803*2),102854,0)*12)</f>
        <v>1234248</v>
      </c>
      <c r="J15" s="17">
        <f t="shared" ref="J15:J16" si="32">+(E15+H15+I15+(K15/12))/24</f>
        <v>1135394.3958333333</v>
      </c>
      <c r="K15" s="17">
        <f t="shared" ref="K15:K16" si="33">+IF(D15&lt;1687295,(((D15+(F15/12)+(G15/12))*0.5))*C15,(((D15+(F15/12)+(G15/12))*0.35))*C15)</f>
        <v>1047282</v>
      </c>
      <c r="L15" s="17">
        <f>+((((D15/30)/8)*50)*12)*C15</f>
        <v>5236410</v>
      </c>
      <c r="M15" s="17">
        <f t="shared" ref="M15:M16" si="34">+(E15/12)+J15/12+K15/12+N15/12</f>
        <v>2371398.4277765723</v>
      </c>
      <c r="N15" s="17">
        <f t="shared" ref="N15:N16" si="35">+(E15+H15+I15+J15/12+K15/12)/24</f>
        <v>1139336.7374855324</v>
      </c>
      <c r="O15" s="17"/>
      <c r="P15" s="17">
        <f t="shared" ref="P15:P16" si="36">SUM(E15:O15)</f>
        <v>38092013.561095439</v>
      </c>
      <c r="Q15" s="17"/>
      <c r="R15" s="17"/>
      <c r="S15" s="17"/>
      <c r="T15" s="17"/>
      <c r="U15" s="17">
        <f t="shared" ref="U15:U16" si="37">SUM(Q15:T15)</f>
        <v>0</v>
      </c>
      <c r="V15" s="17">
        <f t="shared" ref="V15:V16" si="38">P15+U15</f>
        <v>38092013.561095439</v>
      </c>
      <c r="W15" s="17">
        <f t="shared" ref="W15:W16" si="39">+(E15/360)*22.5</f>
        <v>1570923</v>
      </c>
      <c r="X15" s="17">
        <v>0</v>
      </c>
      <c r="Y15" s="17">
        <f t="shared" ref="Y15:Y16" si="40">+((D15/30)*2)*C15</f>
        <v>139637.6</v>
      </c>
      <c r="Z15" s="17">
        <f t="shared" ref="Z15:Z16" si="41">SUM(W15:Y15)</f>
        <v>1710560.6</v>
      </c>
      <c r="AA15" s="17"/>
      <c r="AB15" s="17"/>
      <c r="AC15" s="17"/>
      <c r="AD15" s="17"/>
      <c r="AE15" s="17">
        <f t="shared" ref="AE15:AE16" si="42">SUM(AA15:AD15)</f>
        <v>0</v>
      </c>
      <c r="AF15" s="17">
        <f t="shared" ref="AF15:AF16" si="43">Z15+AE15</f>
        <v>1710560.6</v>
      </c>
      <c r="AG15" s="17">
        <f t="shared" ref="AG15:AG16" si="44">+(((D15+H15/12)*12%)*12)*C15</f>
        <v>3206534.4000000004</v>
      </c>
      <c r="AH15" s="17">
        <f t="shared" ref="AH15:AH16" si="45">+(E15+H15+I15+K15/12)*0.085</f>
        <v>2316204.5675000004</v>
      </c>
      <c r="AI15" s="17">
        <f t="shared" ref="AI15:AI16" si="46">(E15+H15+I15+K15/12)/12</f>
        <v>2270788.7916666665</v>
      </c>
      <c r="AJ15" s="18">
        <f t="shared" ref="AJ15:AJ16" si="47">+((D15*0.0462528468870403)*C15)*12</f>
        <v>1162554.5758452802</v>
      </c>
      <c r="AK15" s="18">
        <f t="shared" ref="AK15:AK16" si="48">+((D15*0.00670073013482786)*C15)*12</f>
        <v>168421.29736950697</v>
      </c>
      <c r="AL15" s="17">
        <f t="shared" ref="AL15:AL16" si="49">+(((D15*0.0350347003548701)*C15)*12)</f>
        <v>880589.06536917761</v>
      </c>
      <c r="AM15" s="18">
        <f t="shared" ref="AM15:AM16" si="50">+(((D15*0.00653696725733068)*C15)*12)</f>
        <v>164305.15543660294</v>
      </c>
      <c r="AN15" s="18">
        <f t="shared" ref="AN15:AN16" si="51">+(((D15*0.00653696725733068)*C15)*12)</f>
        <v>164305.15543660294</v>
      </c>
      <c r="AO15" s="17">
        <f t="shared" ref="AO15:AO16" si="52">+(((D15*0.0120315909729847)*C15)*12)</f>
        <v>302411.24777686468</v>
      </c>
      <c r="AP15" s="17">
        <v>0</v>
      </c>
      <c r="AQ15" s="19">
        <f t="shared" ref="AQ15:AQ16" si="53">SUM(AG15:AP15)</f>
        <v>10636114.256400703</v>
      </c>
      <c r="AR15" s="18">
        <f t="shared" ref="AR15:AR16" si="54">+(((D15*0.00434613338546905)*C15)*12)</f>
        <v>109239.05434081916</v>
      </c>
      <c r="AS15" s="18">
        <f t="shared" ref="AS15:AS16" si="55">+((D15*0.00409919593234485)*C15)*12</f>
        <v>103032.33874603148</v>
      </c>
      <c r="AT15" s="18">
        <f t="shared" ref="AT15:AT16" si="56">SUM(AR15:AS15)</f>
        <v>212271.39308685064</v>
      </c>
      <c r="AU15" s="20">
        <f t="shared" ref="AU15:AU16" si="57">V15+AF15+AQ15</f>
        <v>50438688.417496145</v>
      </c>
    </row>
    <row r="16" spans="1:47" ht="15" customHeight="1" thickBot="1" x14ac:dyDescent="0.25">
      <c r="A16" s="24" t="s">
        <v>74</v>
      </c>
      <c r="B16" s="62" t="s">
        <v>78</v>
      </c>
      <c r="C16" s="22">
        <v>2</v>
      </c>
      <c r="D16" s="17">
        <v>1180463</v>
      </c>
      <c r="E16" s="17">
        <f t="shared" si="29"/>
        <v>28331112</v>
      </c>
      <c r="F16" s="17">
        <v>0</v>
      </c>
      <c r="G16" s="17"/>
      <c r="H16" s="17">
        <f t="shared" si="30"/>
        <v>793176</v>
      </c>
      <c r="I16" s="17">
        <f t="shared" si="31"/>
        <v>1234248</v>
      </c>
      <c r="J16" s="17">
        <f t="shared" si="32"/>
        <v>1269037.8298611112</v>
      </c>
      <c r="K16" s="17">
        <f t="shared" si="33"/>
        <v>1180463</v>
      </c>
      <c r="L16" s="17">
        <f t="shared" ref="L16" si="58">+((((D16/30)/8)*50)*12)*C16</f>
        <v>5902315</v>
      </c>
      <c r="M16" s="17">
        <f t="shared" si="34"/>
        <v>2671171.4200896588</v>
      </c>
      <c r="N16" s="17">
        <f t="shared" si="35"/>
        <v>1273444.2112147955</v>
      </c>
      <c r="O16" s="17"/>
      <c r="P16" s="17">
        <f t="shared" si="36"/>
        <v>42654967.46116557</v>
      </c>
      <c r="Q16" s="17"/>
      <c r="R16" s="17"/>
      <c r="S16" s="17"/>
      <c r="T16" s="17"/>
      <c r="U16" s="17">
        <f t="shared" si="37"/>
        <v>0</v>
      </c>
      <c r="V16" s="17">
        <f t="shared" si="38"/>
        <v>42654967.46116557</v>
      </c>
      <c r="W16" s="17">
        <f t="shared" si="39"/>
        <v>1770694.5000000002</v>
      </c>
      <c r="X16" s="17">
        <v>0</v>
      </c>
      <c r="Y16" s="17">
        <f t="shared" si="40"/>
        <v>157395.06666666668</v>
      </c>
      <c r="Z16" s="17">
        <f t="shared" si="41"/>
        <v>1928089.5666666669</v>
      </c>
      <c r="AA16" s="17"/>
      <c r="AB16" s="17"/>
      <c r="AC16" s="17"/>
      <c r="AD16" s="17"/>
      <c r="AE16" s="17">
        <f t="shared" si="42"/>
        <v>0</v>
      </c>
      <c r="AF16" s="17">
        <f t="shared" si="43"/>
        <v>1928089.5666666669</v>
      </c>
      <c r="AG16" s="17">
        <f t="shared" si="44"/>
        <v>3590095.68</v>
      </c>
      <c r="AH16" s="17">
        <f t="shared" si="45"/>
        <v>2588837.1729166671</v>
      </c>
      <c r="AI16" s="17">
        <f t="shared" si="46"/>
        <v>2538075.6597222225</v>
      </c>
      <c r="AJ16" s="18">
        <f t="shared" si="47"/>
        <v>1310394.5854755901</v>
      </c>
      <c r="AK16" s="18">
        <f t="shared" si="48"/>
        <v>189839.13593158318</v>
      </c>
      <c r="AL16" s="17">
        <f t="shared" si="49"/>
        <v>992572.01964026457</v>
      </c>
      <c r="AM16" s="18">
        <f t="shared" si="50"/>
        <v>185199.55150776831</v>
      </c>
      <c r="AN16" s="18">
        <f t="shared" si="51"/>
        <v>185199.55150776831</v>
      </c>
      <c r="AO16" s="17">
        <f t="shared" si="52"/>
        <v>340868.35139381851</v>
      </c>
      <c r="AP16" s="17">
        <v>0</v>
      </c>
      <c r="AQ16" s="19">
        <f t="shared" si="53"/>
        <v>11921081.708095685</v>
      </c>
      <c r="AR16" s="18">
        <f t="shared" si="54"/>
        <v>123130.79171066283</v>
      </c>
      <c r="AS16" s="18">
        <f t="shared" si="55"/>
        <v>116134.77906920636</v>
      </c>
      <c r="AT16" s="18">
        <f t="shared" si="56"/>
        <v>239265.57077986919</v>
      </c>
      <c r="AU16" s="20">
        <f t="shared" si="57"/>
        <v>56504138.735927925</v>
      </c>
    </row>
    <row r="17" spans="1:51" ht="15" customHeight="1" thickTop="1" thickBot="1" x14ac:dyDescent="0.25">
      <c r="A17" s="50" t="s">
        <v>75</v>
      </c>
      <c r="B17" s="51"/>
      <c r="C17" s="36">
        <f t="shared" ref="C17:AU17" si="59">SUM(C18:C19)</f>
        <v>8</v>
      </c>
      <c r="D17" s="59">
        <f t="shared" si="59"/>
        <v>2094564</v>
      </c>
      <c r="E17" s="59">
        <f t="shared" si="59"/>
        <v>100539072</v>
      </c>
      <c r="F17" s="59">
        <f t="shared" si="59"/>
        <v>0</v>
      </c>
      <c r="G17" s="59">
        <f t="shared" si="59"/>
        <v>0</v>
      </c>
      <c r="H17" s="59">
        <f t="shared" si="59"/>
        <v>1586352</v>
      </c>
      <c r="I17" s="59">
        <f t="shared" si="59"/>
        <v>2468496</v>
      </c>
      <c r="J17" s="59">
        <f t="shared" si="59"/>
        <v>4372625.583333334</v>
      </c>
      <c r="K17" s="59">
        <f t="shared" si="59"/>
        <v>4189128</v>
      </c>
      <c r="L17" s="59">
        <f t="shared" si="59"/>
        <v>20945640</v>
      </c>
      <c r="M17" s="59">
        <f t="shared" si="59"/>
        <v>9238465.5873842593</v>
      </c>
      <c r="N17" s="59">
        <f t="shared" si="59"/>
        <v>1760761.465277778</v>
      </c>
      <c r="O17" s="59">
        <f t="shared" si="59"/>
        <v>0</v>
      </c>
      <c r="P17" s="59">
        <f t="shared" si="59"/>
        <v>145100540.63599539</v>
      </c>
      <c r="Q17" s="59">
        <f t="shared" si="59"/>
        <v>0</v>
      </c>
      <c r="R17" s="59">
        <f t="shared" si="59"/>
        <v>0</v>
      </c>
      <c r="S17" s="59">
        <f t="shared" si="59"/>
        <v>0</v>
      </c>
      <c r="T17" s="59">
        <f t="shared" si="59"/>
        <v>0</v>
      </c>
      <c r="U17" s="59">
        <f t="shared" si="59"/>
        <v>0</v>
      </c>
      <c r="V17" s="59">
        <f t="shared" si="59"/>
        <v>145100540.63599539</v>
      </c>
      <c r="W17" s="59">
        <f t="shared" si="59"/>
        <v>6423329.5999999996</v>
      </c>
      <c r="X17" s="59">
        <f t="shared" si="59"/>
        <v>20000000</v>
      </c>
      <c r="Y17" s="59">
        <f t="shared" si="59"/>
        <v>558550.4</v>
      </c>
      <c r="Z17" s="59">
        <f t="shared" si="59"/>
        <v>26981880</v>
      </c>
      <c r="AA17" s="59">
        <f t="shared" si="59"/>
        <v>0</v>
      </c>
      <c r="AB17" s="59">
        <f t="shared" si="59"/>
        <v>0</v>
      </c>
      <c r="AC17" s="59">
        <f t="shared" si="59"/>
        <v>0</v>
      </c>
      <c r="AD17" s="59">
        <f t="shared" si="59"/>
        <v>0</v>
      </c>
      <c r="AE17" s="59">
        <f t="shared" si="59"/>
        <v>0</v>
      </c>
      <c r="AF17" s="59">
        <f t="shared" si="59"/>
        <v>26981880</v>
      </c>
      <c r="AG17" s="59">
        <f t="shared" si="59"/>
        <v>12826137.600000001</v>
      </c>
      <c r="AH17" s="59">
        <f t="shared" si="59"/>
        <v>8920156.1900000013</v>
      </c>
      <c r="AI17" s="59">
        <f t="shared" si="59"/>
        <v>8378256</v>
      </c>
      <c r="AJ17" s="59">
        <f t="shared" si="59"/>
        <v>4650218.3033811208</v>
      </c>
      <c r="AK17" s="59">
        <f t="shared" si="59"/>
        <v>673685.18947802798</v>
      </c>
      <c r="AL17" s="59">
        <f t="shared" si="59"/>
        <v>3522356.2614767104</v>
      </c>
      <c r="AM17" s="59">
        <f t="shared" si="59"/>
        <v>657220.62174641178</v>
      </c>
      <c r="AN17" s="59">
        <f t="shared" si="59"/>
        <v>657220.62174641178</v>
      </c>
      <c r="AO17" s="59">
        <f t="shared" si="59"/>
        <v>1209644.9911074587</v>
      </c>
      <c r="AP17" s="59">
        <f t="shared" si="59"/>
        <v>0</v>
      </c>
      <c r="AQ17" s="59">
        <f t="shared" si="59"/>
        <v>41494895.778936133</v>
      </c>
      <c r="AR17" s="59">
        <f t="shared" si="59"/>
        <v>436956.21736327664</v>
      </c>
      <c r="AS17" s="59">
        <f t="shared" si="59"/>
        <v>412129.35498412594</v>
      </c>
      <c r="AT17" s="59">
        <f t="shared" si="59"/>
        <v>849085.57234740257</v>
      </c>
      <c r="AU17" s="59">
        <f t="shared" si="59"/>
        <v>213577316.41493151</v>
      </c>
    </row>
    <row r="18" spans="1:51" ht="15" customHeight="1" thickTop="1" x14ac:dyDescent="0.2">
      <c r="A18" s="24" t="s">
        <v>79</v>
      </c>
      <c r="B18" s="62" t="s">
        <v>80</v>
      </c>
      <c r="C18" s="22">
        <v>5</v>
      </c>
      <c r="D18" s="17">
        <v>1047282</v>
      </c>
      <c r="E18" s="17">
        <f t="shared" ref="E18:E19" si="60">D18*C18*12</f>
        <v>62836920</v>
      </c>
      <c r="F18" s="17">
        <v>0</v>
      </c>
      <c r="G18" s="17"/>
      <c r="H18" s="17">
        <f t="shared" ref="H18:H19" si="61">(IF(D18&gt;=1853502,0,66098))*12</f>
        <v>793176</v>
      </c>
      <c r="I18" s="17">
        <f t="shared" ref="I18:I19" si="62">+(IF(D18&lt;(877803*2),102854,0)*12)</f>
        <v>1234248</v>
      </c>
      <c r="J18" s="17">
        <f t="shared" ref="J18:J19" si="63">+(E18+H18+I18+(K18/12))/24</f>
        <v>2711771.9895833335</v>
      </c>
      <c r="K18" s="17">
        <f t="shared" ref="K18:K19" si="64">+IF(D18&lt;1687295,(((D18+(F18/12)+(G18/12))*0.5))*C18,(((D18+(F18/12)+(G18/12))*0.35))*C18)</f>
        <v>2618205</v>
      </c>
      <c r="L18" s="17">
        <f t="shared" ref="L18:L19" si="65">+((((D18/30)/8)*50)*12)*C18</f>
        <v>13091025</v>
      </c>
      <c r="M18" s="17">
        <f t="shared" ref="M18:M19" si="66">+(E18/12)+J18/12+K18/12+N18/12</f>
        <v>5761225.2282262724</v>
      </c>
      <c r="N18" s="17">
        <f t="shared" ref="N18:N19" si="67">+((D18+(F18/12)+(G18/12))/2+J18/12+K18/12)</f>
        <v>967805.7491319445</v>
      </c>
      <c r="O18" s="17"/>
      <c r="P18" s="17">
        <f t="shared" ref="P18:P19" si="68">SUM(E18:O18)</f>
        <v>90014376.96694155</v>
      </c>
      <c r="Q18" s="17"/>
      <c r="R18" s="17"/>
      <c r="S18" s="17"/>
      <c r="T18" s="17"/>
      <c r="U18" s="17">
        <f t="shared" ref="U18:U19" si="69">SUM(Q18:T18)</f>
        <v>0</v>
      </c>
      <c r="V18" s="17">
        <f t="shared" ref="V18:V19" si="70">P18+U18</f>
        <v>90014376.96694155</v>
      </c>
      <c r="W18" s="17">
        <f t="shared" ref="W18:W19" si="71">+(E18/360)*23</f>
        <v>4014581</v>
      </c>
      <c r="X18" s="17">
        <v>20000000</v>
      </c>
      <c r="Y18" s="17">
        <f t="shared" ref="Y18:Y19" si="72">+((D18/30)*2)*C18</f>
        <v>349094</v>
      </c>
      <c r="Z18" s="17">
        <f t="shared" ref="Z18" si="73">SUM(W18:Y18)</f>
        <v>24363675</v>
      </c>
      <c r="AA18" s="17"/>
      <c r="AB18" s="17"/>
      <c r="AC18" s="17"/>
      <c r="AD18" s="17"/>
      <c r="AE18" s="17">
        <f t="shared" ref="AE18:AE19" si="74">SUM(AA18:AD18)</f>
        <v>0</v>
      </c>
      <c r="AF18" s="17">
        <f t="shared" ref="AF18:AF19" si="75">Z18+AE18</f>
        <v>24363675</v>
      </c>
      <c r="AG18" s="17">
        <f t="shared" ref="AG18:AG19" si="76">+(((D18+H18/12)*12%)*12)*C18</f>
        <v>8016336.0000000009</v>
      </c>
      <c r="AH18" s="17">
        <f t="shared" ref="AH18:AH19" si="77">+(E18+H18+I18+K18/12)*0.085</f>
        <v>5532014.8587500006</v>
      </c>
      <c r="AI18" s="17">
        <f t="shared" ref="AI18:AI19" si="78">+E18/12</f>
        <v>5236410</v>
      </c>
      <c r="AJ18" s="18">
        <f t="shared" ref="AJ18:AJ19" si="79">+((D18*0.0462528468870403)*C18)*12</f>
        <v>2906386.4396132003</v>
      </c>
      <c r="AK18" s="18">
        <f t="shared" ref="AK18:AK19" si="80">+((D18*0.00670073013482786)*C18)*12</f>
        <v>421053.2434237675</v>
      </c>
      <c r="AL18" s="17">
        <f t="shared" ref="AL18:AL19" si="81">+(((D18*0.0350347003548701)*C18)*12)</f>
        <v>2201472.663422944</v>
      </c>
      <c r="AM18" s="18">
        <f t="shared" ref="AM18:AM19" si="82">+(((D18*0.00653696725733068)*C18)*12)</f>
        <v>410762.88859150733</v>
      </c>
      <c r="AN18" s="18">
        <f t="shared" ref="AN18:AN19" si="83">+(((D18*0.00653696725733068)*C18)*12)</f>
        <v>410762.88859150733</v>
      </c>
      <c r="AO18" s="17">
        <f t="shared" ref="AO18:AO19" si="84">+(((D18*0.0120315909729847)*C18)*12)</f>
        <v>756028.11944216164</v>
      </c>
      <c r="AP18" s="17">
        <v>0</v>
      </c>
      <c r="AQ18" s="19">
        <f t="shared" ref="AQ18:AQ19" si="85">SUM(AG18:AP18)</f>
        <v>25891227.101835083</v>
      </c>
      <c r="AR18" s="18">
        <f t="shared" ref="AR18:AR19" si="86">+(((D18*0.00434613338546905)*C18)*12)</f>
        <v>273097.63585204788</v>
      </c>
      <c r="AS18" s="18">
        <f t="shared" ref="AS18:AS19" si="87">+((D18*0.00409919593234485)*C18)*12</f>
        <v>257580.84686507873</v>
      </c>
      <c r="AT18" s="18">
        <f t="shared" ref="AT18:AT19" si="88">SUM(AR18:AS18)</f>
        <v>530678.48271712661</v>
      </c>
      <c r="AU18" s="20">
        <f t="shared" ref="AU18:AU19" si="89">V18+AF18+AQ18</f>
        <v>140269279.06877664</v>
      </c>
    </row>
    <row r="19" spans="1:51" ht="15" customHeight="1" thickBot="1" x14ac:dyDescent="0.25">
      <c r="A19" s="24" t="s">
        <v>81</v>
      </c>
      <c r="B19" s="62" t="s">
        <v>80</v>
      </c>
      <c r="C19" s="22">
        <v>3</v>
      </c>
      <c r="D19" s="17">
        <v>1047282</v>
      </c>
      <c r="E19" s="17">
        <f t="shared" si="60"/>
        <v>37702152</v>
      </c>
      <c r="F19" s="17">
        <v>0</v>
      </c>
      <c r="G19" s="17"/>
      <c r="H19" s="17">
        <f t="shared" si="61"/>
        <v>793176</v>
      </c>
      <c r="I19" s="17">
        <f t="shared" si="62"/>
        <v>1234248</v>
      </c>
      <c r="J19" s="17">
        <f t="shared" si="63"/>
        <v>1660853.59375</v>
      </c>
      <c r="K19" s="17">
        <f t="shared" si="64"/>
        <v>1570923</v>
      </c>
      <c r="L19" s="17">
        <f t="shared" si="65"/>
        <v>7854615</v>
      </c>
      <c r="M19" s="17">
        <f t="shared" si="66"/>
        <v>3477240.3591579865</v>
      </c>
      <c r="N19" s="17">
        <f t="shared" si="67"/>
        <v>792955.71614583337</v>
      </c>
      <c r="O19" s="17"/>
      <c r="P19" s="17">
        <f t="shared" si="68"/>
        <v>55086163.669053823</v>
      </c>
      <c r="Q19" s="17"/>
      <c r="R19" s="17"/>
      <c r="S19" s="17"/>
      <c r="T19" s="17"/>
      <c r="U19" s="17">
        <f t="shared" si="69"/>
        <v>0</v>
      </c>
      <c r="V19" s="17">
        <f t="shared" si="70"/>
        <v>55086163.669053823</v>
      </c>
      <c r="W19" s="17">
        <f t="shared" si="71"/>
        <v>2408748.6</v>
      </c>
      <c r="X19" s="17">
        <v>0</v>
      </c>
      <c r="Y19" s="17">
        <f t="shared" si="72"/>
        <v>209456.40000000002</v>
      </c>
      <c r="Z19" s="17">
        <f t="shared" ref="Z19" si="90">SUM(W19:Y19)</f>
        <v>2618205</v>
      </c>
      <c r="AA19" s="17"/>
      <c r="AB19" s="17"/>
      <c r="AC19" s="17"/>
      <c r="AD19" s="17"/>
      <c r="AE19" s="17">
        <f t="shared" si="74"/>
        <v>0</v>
      </c>
      <c r="AF19" s="17">
        <f t="shared" si="75"/>
        <v>2618205</v>
      </c>
      <c r="AG19" s="17">
        <f t="shared" si="76"/>
        <v>4809801.6000000006</v>
      </c>
      <c r="AH19" s="17">
        <f t="shared" si="77"/>
        <v>3388141.3312500003</v>
      </c>
      <c r="AI19" s="17">
        <f t="shared" si="78"/>
        <v>3141846</v>
      </c>
      <c r="AJ19" s="18">
        <f t="shared" si="79"/>
        <v>1743831.8637679203</v>
      </c>
      <c r="AK19" s="18">
        <f t="shared" si="80"/>
        <v>252631.94605426045</v>
      </c>
      <c r="AL19" s="17">
        <f t="shared" si="81"/>
        <v>1320883.5980537664</v>
      </c>
      <c r="AM19" s="18">
        <f t="shared" si="82"/>
        <v>246457.73315490442</v>
      </c>
      <c r="AN19" s="18">
        <f t="shared" si="83"/>
        <v>246457.73315490442</v>
      </c>
      <c r="AO19" s="17">
        <f t="shared" si="84"/>
        <v>453616.87166529702</v>
      </c>
      <c r="AP19" s="17">
        <v>0</v>
      </c>
      <c r="AQ19" s="19">
        <f t="shared" si="85"/>
        <v>15603668.677101053</v>
      </c>
      <c r="AR19" s="18">
        <f t="shared" si="86"/>
        <v>163858.58151122875</v>
      </c>
      <c r="AS19" s="18">
        <f t="shared" si="87"/>
        <v>154548.50811904721</v>
      </c>
      <c r="AT19" s="18">
        <f t="shared" si="88"/>
        <v>318407.08963027596</v>
      </c>
      <c r="AU19" s="20">
        <f t="shared" si="89"/>
        <v>73308037.346154869</v>
      </c>
    </row>
    <row r="20" spans="1:51" ht="15" customHeight="1" thickTop="1" thickBot="1" x14ac:dyDescent="0.25">
      <c r="A20" s="25" t="s">
        <v>60</v>
      </c>
      <c r="B20" s="26"/>
      <c r="C20" s="60">
        <f t="shared" ref="C20:AU20" si="91">C12+C14+C17</f>
        <v>13</v>
      </c>
      <c r="D20" s="61">
        <f t="shared" si="91"/>
        <v>10631024</v>
      </c>
      <c r="E20" s="61">
        <f t="shared" si="91"/>
        <v>229709532</v>
      </c>
      <c r="F20" s="61">
        <f t="shared" si="91"/>
        <v>0</v>
      </c>
      <c r="G20" s="61">
        <f t="shared" si="91"/>
        <v>0</v>
      </c>
      <c r="H20" s="61">
        <f t="shared" si="91"/>
        <v>3172704</v>
      </c>
      <c r="I20" s="61">
        <f t="shared" si="91"/>
        <v>4936992</v>
      </c>
      <c r="J20" s="61">
        <f t="shared" si="91"/>
        <v>9939082.1501736119</v>
      </c>
      <c r="K20" s="61">
        <f t="shared" si="91"/>
        <v>8624923.25</v>
      </c>
      <c r="L20" s="61">
        <f t="shared" si="91"/>
        <v>32084365</v>
      </c>
      <c r="M20" s="61">
        <f t="shared" si="91"/>
        <v>21337411.960840046</v>
      </c>
      <c r="N20" s="61">
        <f t="shared" si="91"/>
        <v>7775406.1299069254</v>
      </c>
      <c r="O20" s="61">
        <f t="shared" si="91"/>
        <v>0</v>
      </c>
      <c r="P20" s="61">
        <f t="shared" si="91"/>
        <v>317580416.4909206</v>
      </c>
      <c r="Q20" s="61">
        <f t="shared" si="91"/>
        <v>0</v>
      </c>
      <c r="R20" s="61">
        <f t="shared" si="91"/>
        <v>0</v>
      </c>
      <c r="S20" s="61">
        <f t="shared" si="91"/>
        <v>0</v>
      </c>
      <c r="T20" s="61">
        <f t="shared" si="91"/>
        <v>0</v>
      </c>
      <c r="U20" s="61">
        <f t="shared" si="91"/>
        <v>0</v>
      </c>
      <c r="V20" s="61">
        <f t="shared" si="91"/>
        <v>317580416.4909206</v>
      </c>
      <c r="W20" s="61">
        <f t="shared" si="91"/>
        <v>12526375.948878761</v>
      </c>
      <c r="X20" s="61">
        <f t="shared" si="91"/>
        <v>20000000</v>
      </c>
      <c r="Y20" s="61">
        <f t="shared" si="91"/>
        <v>1276164.0666666669</v>
      </c>
      <c r="Z20" s="61">
        <f t="shared" si="91"/>
        <v>33802540.015545428</v>
      </c>
      <c r="AA20" s="61">
        <f t="shared" si="91"/>
        <v>0</v>
      </c>
      <c r="AB20" s="61">
        <f t="shared" si="91"/>
        <v>0</v>
      </c>
      <c r="AC20" s="61">
        <f t="shared" si="91"/>
        <v>0</v>
      </c>
      <c r="AD20" s="61">
        <f t="shared" si="91"/>
        <v>0</v>
      </c>
      <c r="AE20" s="61">
        <f t="shared" si="91"/>
        <v>0</v>
      </c>
      <c r="AF20" s="61">
        <f t="shared" si="91"/>
        <v>30620530.166666668</v>
      </c>
      <c r="AG20" s="61">
        <f t="shared" si="91"/>
        <v>28707317.280000001</v>
      </c>
      <c r="AH20" s="61">
        <f t="shared" si="91"/>
        <v>20275727.58635417</v>
      </c>
      <c r="AI20" s="61">
        <f t="shared" si="91"/>
        <v>19511169.133680556</v>
      </c>
      <c r="AJ20" s="61">
        <f t="shared" si="91"/>
        <v>10624719.812089685</v>
      </c>
      <c r="AK20" s="61">
        <f t="shared" si="91"/>
        <v>1539221.5833296047</v>
      </c>
      <c r="AL20" s="61">
        <f t="shared" si="91"/>
        <v>8047804.6222774442</v>
      </c>
      <c r="AM20" s="61">
        <f t="shared" si="91"/>
        <v>1501603.689380754</v>
      </c>
      <c r="AN20" s="61">
        <f t="shared" si="91"/>
        <v>1501603.689380754</v>
      </c>
      <c r="AO20" s="61">
        <f t="shared" si="91"/>
        <v>2763771.1316197403</v>
      </c>
      <c r="AP20" s="61">
        <f t="shared" si="91"/>
        <v>0</v>
      </c>
      <c r="AQ20" s="61">
        <f t="shared" si="91"/>
        <v>94472938.52811271</v>
      </c>
      <c r="AR20" s="61">
        <f t="shared" si="91"/>
        <v>998348.2659856712</v>
      </c>
      <c r="AS20" s="61">
        <f t="shared" si="91"/>
        <v>941624.37919523905</v>
      </c>
      <c r="AT20" s="61">
        <f t="shared" si="91"/>
        <v>1939972.6451809104</v>
      </c>
      <c r="AU20" s="61">
        <f t="shared" si="91"/>
        <v>442673885.18569994</v>
      </c>
    </row>
    <row r="21" spans="1:51" ht="15" customHeight="1" thickTop="1" thickBot="1" x14ac:dyDescent="0.25">
      <c r="A21" s="10" t="s">
        <v>61</v>
      </c>
      <c r="B21" s="28"/>
      <c r="C21" s="28"/>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0"/>
      <c r="AH21" s="30"/>
      <c r="AI21" s="30"/>
      <c r="AJ21" s="30"/>
      <c r="AK21" s="30"/>
      <c r="AL21" s="30"/>
      <c r="AM21" s="30"/>
      <c r="AN21" s="30"/>
      <c r="AO21" s="29"/>
      <c r="AP21" s="29"/>
      <c r="AQ21" s="31"/>
      <c r="AR21" s="30"/>
      <c r="AS21" s="30"/>
      <c r="AT21" s="30"/>
      <c r="AU21" s="31"/>
    </row>
    <row r="22" spans="1:51" ht="23" customHeight="1" thickTop="1" x14ac:dyDescent="0.2">
      <c r="A22" s="136" t="s">
        <v>129</v>
      </c>
      <c r="B22" s="136"/>
      <c r="C22" s="136"/>
      <c r="D22" s="136"/>
    </row>
    <row r="23" spans="1:51" ht="31" customHeight="1" x14ac:dyDescent="0.2">
      <c r="A23" s="137"/>
      <c r="B23" s="137"/>
      <c r="C23" s="137"/>
      <c r="D23" s="137"/>
    </row>
    <row r="28" spans="1:51" x14ac:dyDescent="0.2">
      <c r="A28" s="44" t="s">
        <v>64</v>
      </c>
      <c r="B28" s="113" t="s">
        <v>67</v>
      </c>
      <c r="C28" s="113"/>
      <c r="D28" s="113"/>
      <c r="E28" s="113"/>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row>
    <row r="29" spans="1:51" x14ac:dyDescent="0.2">
      <c r="A29" s="44" t="s">
        <v>65</v>
      </c>
      <c r="B29" s="114" t="s">
        <v>82</v>
      </c>
      <c r="C29" s="114"/>
      <c r="D29" s="114"/>
      <c r="E29" s="114"/>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Y29" s="38"/>
    </row>
    <row r="30" spans="1:51" x14ac:dyDescent="0.2">
      <c r="A30" s="44" t="s">
        <v>66</v>
      </c>
      <c r="B30" s="115" t="s">
        <v>69</v>
      </c>
      <c r="C30" s="115"/>
      <c r="D30" s="115"/>
      <c r="E30" s="115"/>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row>
    <row r="31" spans="1:51" ht="17" thickBot="1" x14ac:dyDescent="0.25">
      <c r="A31" s="2"/>
      <c r="B31" s="2"/>
      <c r="C31" s="2"/>
      <c r="D31" s="2"/>
      <c r="E31" s="2"/>
      <c r="F31" s="2"/>
      <c r="G31" s="2"/>
      <c r="H31" s="2"/>
      <c r="I31" s="2"/>
      <c r="J31" s="2"/>
      <c r="K31" s="2"/>
      <c r="L31" s="2"/>
      <c r="M31" s="2"/>
      <c r="N31" s="2"/>
      <c r="O31" s="2"/>
      <c r="P31" s="2"/>
      <c r="Q31" s="2"/>
      <c r="R31" s="2"/>
      <c r="S31" s="2"/>
      <c r="T31" s="2"/>
      <c r="U31" s="2"/>
      <c r="V31" s="2"/>
      <c r="W31" s="1"/>
      <c r="X31" s="1"/>
      <c r="Y31" s="1"/>
      <c r="Z31" s="1"/>
      <c r="AA31" s="1"/>
      <c r="AB31" s="1"/>
      <c r="AC31" s="1"/>
      <c r="AD31" s="1"/>
      <c r="AE31" s="1"/>
      <c r="AF31" s="1"/>
      <c r="AG31" s="1"/>
      <c r="AH31" s="1"/>
      <c r="AI31" s="1"/>
      <c r="AJ31" s="1"/>
      <c r="AK31" s="1"/>
      <c r="AL31" s="1"/>
      <c r="AM31" s="1"/>
      <c r="AN31" s="1"/>
      <c r="AO31" s="1"/>
      <c r="AP31" s="1"/>
      <c r="AQ31" s="1"/>
      <c r="AR31" s="1"/>
      <c r="AS31" s="1"/>
      <c r="AT31" s="1"/>
      <c r="AU31" s="1"/>
      <c r="AY31" s="38"/>
    </row>
    <row r="32" spans="1:51" ht="17" thickTop="1" x14ac:dyDescent="0.2">
      <c r="A32" s="116" t="s">
        <v>0</v>
      </c>
      <c r="B32" s="118" t="s">
        <v>1</v>
      </c>
      <c r="C32" s="120" t="s">
        <v>2</v>
      </c>
      <c r="D32" s="119" t="s">
        <v>3</v>
      </c>
      <c r="E32" s="122"/>
      <c r="F32" s="122"/>
      <c r="G32" s="122"/>
      <c r="H32" s="122"/>
      <c r="I32" s="122"/>
      <c r="J32" s="122"/>
      <c r="K32" s="122"/>
      <c r="L32" s="122"/>
      <c r="M32" s="122"/>
      <c r="N32" s="122"/>
      <c r="O32" s="122"/>
      <c r="P32" s="122"/>
      <c r="Q32" s="123"/>
      <c r="R32" s="123"/>
      <c r="S32" s="123"/>
      <c r="T32" s="123"/>
      <c r="U32" s="123"/>
      <c r="V32" s="124"/>
      <c r="W32" s="125" t="s">
        <v>4</v>
      </c>
      <c r="X32" s="126"/>
      <c r="Y32" s="126"/>
      <c r="Z32" s="126"/>
      <c r="AA32" s="126"/>
      <c r="AB32" s="126"/>
      <c r="AC32" s="126"/>
      <c r="AD32" s="126"/>
      <c r="AE32" s="126"/>
      <c r="AF32" s="127"/>
      <c r="AG32" s="125" t="s">
        <v>5</v>
      </c>
      <c r="AH32" s="126"/>
      <c r="AI32" s="126"/>
      <c r="AJ32" s="126"/>
      <c r="AK32" s="126"/>
      <c r="AL32" s="126"/>
      <c r="AM32" s="126"/>
      <c r="AN32" s="126"/>
      <c r="AO32" s="126"/>
      <c r="AP32" s="126"/>
      <c r="AQ32" s="127"/>
      <c r="AR32" s="119" t="s">
        <v>6</v>
      </c>
      <c r="AS32" s="122"/>
      <c r="AT32" s="117"/>
      <c r="AU32" s="128" t="s">
        <v>7</v>
      </c>
    </row>
    <row r="33" spans="1:47" x14ac:dyDescent="0.2">
      <c r="A33" s="117"/>
      <c r="B33" s="119"/>
      <c r="C33" s="119"/>
      <c r="D33" s="130" t="s">
        <v>8</v>
      </c>
      <c r="E33" s="131"/>
      <c r="F33" s="131"/>
      <c r="G33" s="131"/>
      <c r="H33" s="131"/>
      <c r="I33" s="131"/>
      <c r="J33" s="131"/>
      <c r="K33" s="131"/>
      <c r="L33" s="131"/>
      <c r="M33" s="131"/>
      <c r="N33" s="131"/>
      <c r="O33" s="131"/>
      <c r="P33" s="132"/>
      <c r="Q33" s="130" t="s">
        <v>9</v>
      </c>
      <c r="R33" s="131"/>
      <c r="S33" s="131"/>
      <c r="T33" s="131"/>
      <c r="U33" s="132"/>
      <c r="V33" s="133" t="s">
        <v>10</v>
      </c>
      <c r="W33" s="130" t="s">
        <v>11</v>
      </c>
      <c r="X33" s="131"/>
      <c r="Y33" s="131"/>
      <c r="Z33" s="132"/>
      <c r="AA33" s="130" t="s">
        <v>12</v>
      </c>
      <c r="AB33" s="131"/>
      <c r="AC33" s="131"/>
      <c r="AD33" s="131"/>
      <c r="AE33" s="132"/>
      <c r="AF33" s="133" t="s">
        <v>10</v>
      </c>
      <c r="AG33" s="121" t="s">
        <v>13</v>
      </c>
      <c r="AH33" s="121" t="s">
        <v>14</v>
      </c>
      <c r="AI33" s="121" t="s">
        <v>15</v>
      </c>
      <c r="AJ33" s="121" t="s">
        <v>16</v>
      </c>
      <c r="AK33" s="121" t="s">
        <v>17</v>
      </c>
      <c r="AL33" s="121" t="s">
        <v>18</v>
      </c>
      <c r="AM33" s="121" t="s">
        <v>19</v>
      </c>
      <c r="AN33" s="121" t="s">
        <v>20</v>
      </c>
      <c r="AO33" s="121" t="s">
        <v>21</v>
      </c>
      <c r="AP33" s="121" t="s">
        <v>22</v>
      </c>
      <c r="AQ33" s="121" t="s">
        <v>10</v>
      </c>
      <c r="AR33" s="134" t="s">
        <v>23</v>
      </c>
      <c r="AS33" s="134" t="s">
        <v>24</v>
      </c>
      <c r="AT33" s="134" t="s">
        <v>25</v>
      </c>
      <c r="AU33" s="129"/>
    </row>
    <row r="34" spans="1:47" x14ac:dyDescent="0.2">
      <c r="A34" s="117"/>
      <c r="B34" s="119"/>
      <c r="C34" s="121"/>
      <c r="D34" s="130" t="s">
        <v>26</v>
      </c>
      <c r="E34" s="132"/>
      <c r="F34" s="133" t="s">
        <v>27</v>
      </c>
      <c r="G34" s="133" t="s">
        <v>28</v>
      </c>
      <c r="H34" s="133" t="s">
        <v>29</v>
      </c>
      <c r="I34" s="133" t="s">
        <v>30</v>
      </c>
      <c r="J34" s="133" t="s">
        <v>31</v>
      </c>
      <c r="K34" s="133" t="s">
        <v>32</v>
      </c>
      <c r="L34" s="133" t="s">
        <v>33</v>
      </c>
      <c r="M34" s="133" t="s">
        <v>34</v>
      </c>
      <c r="N34" s="133" t="s">
        <v>35</v>
      </c>
      <c r="O34" s="133" t="s">
        <v>36</v>
      </c>
      <c r="P34" s="133" t="s">
        <v>37</v>
      </c>
      <c r="Q34" s="133" t="s">
        <v>38</v>
      </c>
      <c r="R34" s="133" t="s">
        <v>39</v>
      </c>
      <c r="S34" s="133" t="s">
        <v>40</v>
      </c>
      <c r="T34" s="133" t="s">
        <v>41</v>
      </c>
      <c r="U34" s="133" t="s">
        <v>42</v>
      </c>
      <c r="V34" s="121"/>
      <c r="W34" s="133" t="s">
        <v>43</v>
      </c>
      <c r="X34" s="133" t="s">
        <v>44</v>
      </c>
      <c r="Y34" s="133" t="s">
        <v>45</v>
      </c>
      <c r="Z34" s="133" t="s">
        <v>37</v>
      </c>
      <c r="AA34" s="133" t="s">
        <v>46</v>
      </c>
      <c r="AB34" s="133" t="s">
        <v>47</v>
      </c>
      <c r="AC34" s="133" t="s">
        <v>48</v>
      </c>
      <c r="AD34" s="133" t="s">
        <v>49</v>
      </c>
      <c r="AE34" s="133" t="s">
        <v>42</v>
      </c>
      <c r="AF34" s="121"/>
      <c r="AG34" s="121"/>
      <c r="AH34" s="121"/>
      <c r="AI34" s="121"/>
      <c r="AJ34" s="121"/>
      <c r="AK34" s="121"/>
      <c r="AL34" s="121"/>
      <c r="AM34" s="121"/>
      <c r="AN34" s="121"/>
      <c r="AO34" s="121" t="s">
        <v>50</v>
      </c>
      <c r="AP34" s="121" t="s">
        <v>50</v>
      </c>
      <c r="AQ34" s="121" t="s">
        <v>50</v>
      </c>
      <c r="AR34" s="134"/>
      <c r="AS34" s="134"/>
      <c r="AT34" s="134"/>
      <c r="AU34" s="129"/>
    </row>
    <row r="35" spans="1:47" x14ac:dyDescent="0.2">
      <c r="A35" s="117"/>
      <c r="B35" s="119"/>
      <c r="C35" s="121"/>
      <c r="D35" s="133" t="s">
        <v>62</v>
      </c>
      <c r="E35" s="46" t="s">
        <v>51</v>
      </c>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t="s">
        <v>52</v>
      </c>
      <c r="AP35" s="121" t="s">
        <v>52</v>
      </c>
      <c r="AQ35" s="121" t="s">
        <v>52</v>
      </c>
      <c r="AR35" s="134"/>
      <c r="AS35" s="134"/>
      <c r="AT35" s="134"/>
      <c r="AU35" s="129"/>
    </row>
    <row r="36" spans="1:47" ht="17" thickBot="1" x14ac:dyDescent="0.25">
      <c r="A36" s="48">
        <v>1</v>
      </c>
      <c r="B36" s="5">
        <v>2</v>
      </c>
      <c r="C36" s="6">
        <v>3</v>
      </c>
      <c r="D36" s="135"/>
      <c r="E36" s="48">
        <v>4.0999999999999996</v>
      </c>
      <c r="F36" s="48">
        <v>4.2</v>
      </c>
      <c r="G36" s="48">
        <v>4.3</v>
      </c>
      <c r="H36" s="48">
        <v>4.4000000000000004</v>
      </c>
      <c r="I36" s="48">
        <v>4.5</v>
      </c>
      <c r="J36" s="48">
        <v>4.5999999999999996</v>
      </c>
      <c r="K36" s="48">
        <v>4.7</v>
      </c>
      <c r="L36" s="48">
        <v>4.8</v>
      </c>
      <c r="M36" s="48">
        <v>4.9000000000000004</v>
      </c>
      <c r="N36" s="7">
        <v>4.0999999999999996</v>
      </c>
      <c r="O36" s="48">
        <v>4.1100000000000003</v>
      </c>
      <c r="P36" s="48">
        <v>4</v>
      </c>
      <c r="Q36" s="6">
        <v>5.0999999999999996</v>
      </c>
      <c r="R36" s="48">
        <v>5.2</v>
      </c>
      <c r="S36" s="48">
        <v>5.3</v>
      </c>
      <c r="T36" s="48">
        <v>5.4</v>
      </c>
      <c r="U36" s="48">
        <v>5</v>
      </c>
      <c r="V36" s="48" t="s">
        <v>53</v>
      </c>
      <c r="W36" s="48">
        <v>7.1</v>
      </c>
      <c r="X36" s="48">
        <v>7.2</v>
      </c>
      <c r="Y36" s="48">
        <v>7.3</v>
      </c>
      <c r="Z36" s="48">
        <v>7</v>
      </c>
      <c r="AA36" s="48">
        <v>8.1</v>
      </c>
      <c r="AB36" s="48">
        <v>8.1999999999999993</v>
      </c>
      <c r="AC36" s="48">
        <v>8.3000000000000007</v>
      </c>
      <c r="AD36" s="48">
        <v>8.4</v>
      </c>
      <c r="AE36" s="48">
        <v>8</v>
      </c>
      <c r="AF36" s="48" t="s">
        <v>54</v>
      </c>
      <c r="AG36" s="48">
        <v>10.1</v>
      </c>
      <c r="AH36" s="48">
        <v>10.199999999999999</v>
      </c>
      <c r="AI36" s="48">
        <v>10.3</v>
      </c>
      <c r="AJ36" s="48">
        <v>10.4</v>
      </c>
      <c r="AK36" s="48">
        <v>10.5</v>
      </c>
      <c r="AL36" s="48">
        <v>10.6</v>
      </c>
      <c r="AM36" s="48">
        <v>10.7</v>
      </c>
      <c r="AN36" s="48">
        <v>10.8</v>
      </c>
      <c r="AO36" s="48">
        <v>10.9</v>
      </c>
      <c r="AP36" s="7">
        <v>10.1</v>
      </c>
      <c r="AQ36" s="48">
        <v>10</v>
      </c>
      <c r="AR36" s="47">
        <v>11.1</v>
      </c>
      <c r="AS36" s="47">
        <v>11.2</v>
      </c>
      <c r="AT36" s="47" t="s">
        <v>55</v>
      </c>
      <c r="AU36" s="9" t="s">
        <v>56</v>
      </c>
    </row>
    <row r="37" spans="1:47" ht="18" thickTop="1" thickBot="1" x14ac:dyDescent="0.25">
      <c r="A37" s="10" t="s">
        <v>57</v>
      </c>
      <c r="B37" s="11"/>
      <c r="C37" s="12"/>
      <c r="D37" s="13"/>
      <c r="E37" s="13"/>
      <c r="F37" s="13"/>
      <c r="G37" s="13"/>
      <c r="H37" s="13"/>
      <c r="I37" s="14"/>
      <c r="J37" s="14"/>
      <c r="K37" s="14"/>
      <c r="L37" s="15"/>
      <c r="M37" s="13"/>
      <c r="N37" s="13"/>
      <c r="O37" s="13"/>
      <c r="P37" s="13"/>
      <c r="Q37" s="13"/>
      <c r="R37" s="13"/>
      <c r="S37" s="14"/>
      <c r="T37" s="14"/>
      <c r="U37" s="15"/>
      <c r="V37" s="14"/>
      <c r="W37" s="14"/>
      <c r="X37" s="15"/>
      <c r="Y37" s="13"/>
      <c r="Z37" s="13"/>
      <c r="AA37" s="13"/>
      <c r="AB37" s="13"/>
      <c r="AC37" s="13"/>
      <c r="AD37" s="13"/>
      <c r="AE37" s="13"/>
      <c r="AF37" s="13"/>
      <c r="AG37" s="13"/>
      <c r="AH37" s="13"/>
      <c r="AI37" s="13"/>
      <c r="AJ37" s="13"/>
      <c r="AK37" s="13"/>
      <c r="AL37" s="13"/>
      <c r="AM37" s="14"/>
      <c r="AN37" s="14"/>
      <c r="AO37" s="15"/>
      <c r="AP37" s="14"/>
      <c r="AQ37" s="15"/>
      <c r="AR37" s="16"/>
      <c r="AS37" s="16"/>
      <c r="AT37" s="16"/>
      <c r="AU37" s="15"/>
    </row>
    <row r="38" spans="1:47" ht="18" thickTop="1" thickBot="1" x14ac:dyDescent="0.25">
      <c r="A38" s="32" t="s">
        <v>70</v>
      </c>
      <c r="B38" s="32"/>
      <c r="C38" s="36">
        <f>C39</f>
        <v>1</v>
      </c>
      <c r="D38" s="59">
        <f t="shared" ref="D38" si="92">D39</f>
        <v>6497976.4500000002</v>
      </c>
      <c r="E38" s="59">
        <f t="shared" ref="E38" si="93">E39</f>
        <v>77975717.400000006</v>
      </c>
      <c r="F38" s="59">
        <f t="shared" ref="F38" si="94">F39</f>
        <v>0</v>
      </c>
      <c r="G38" s="59">
        <f t="shared" ref="G38" si="95">G39</f>
        <v>0</v>
      </c>
      <c r="H38" s="59">
        <f t="shared" ref="H38" si="96">H39</f>
        <v>0</v>
      </c>
      <c r="I38" s="59">
        <f t="shared" ref="I38" si="97">I39</f>
        <v>0</v>
      </c>
      <c r="J38" s="59">
        <f t="shared" ref="J38" si="98">J39</f>
        <v>3256885.0713802087</v>
      </c>
      <c r="K38" s="59">
        <f t="shared" ref="K38" si="99">K39</f>
        <v>2274291.7574999998</v>
      </c>
      <c r="L38" s="59">
        <f t="shared" ref="L38" si="100">L39</f>
        <v>0</v>
      </c>
      <c r="M38" s="59">
        <f t="shared" ref="M38" si="101">M39</f>
        <v>7268067.8213572409</v>
      </c>
      <c r="N38" s="59">
        <f t="shared" ref="N38" si="102">N39</f>
        <v>3709919.6274066842</v>
      </c>
      <c r="O38" s="59">
        <f t="shared" ref="O38" si="103">O39</f>
        <v>0</v>
      </c>
      <c r="P38" s="59">
        <f t="shared" ref="P38" si="104">P39</f>
        <v>94484881.677644134</v>
      </c>
      <c r="Q38" s="59">
        <f t="shared" ref="Q38" si="105">Q39</f>
        <v>0</v>
      </c>
      <c r="R38" s="59">
        <f t="shared" ref="R38" si="106">R39</f>
        <v>0</v>
      </c>
      <c r="S38" s="59">
        <f t="shared" ref="S38" si="107">S39</f>
        <v>0</v>
      </c>
      <c r="T38" s="59">
        <f t="shared" ref="T38" si="108">T39</f>
        <v>0</v>
      </c>
      <c r="U38" s="59">
        <f t="shared" ref="U38" si="109">U39</f>
        <v>0</v>
      </c>
      <c r="V38" s="59">
        <f t="shared" ref="V38" si="110">V39</f>
        <v>94484881.677644134</v>
      </c>
      <c r="W38" s="59">
        <f t="shared" ref="W38" si="111">W39</f>
        <v>2844271.7143451246</v>
      </c>
      <c r="X38" s="59">
        <f t="shared" ref="X38" si="112">X39</f>
        <v>0</v>
      </c>
      <c r="Y38" s="59">
        <f t="shared" ref="Y38" si="113">Y39</f>
        <v>433198.43</v>
      </c>
      <c r="Z38" s="59">
        <f t="shared" ref="Z38" si="114">Z39</f>
        <v>3277470.1443451247</v>
      </c>
      <c r="AA38" s="59">
        <f t="shared" ref="AA38" si="115">AA39</f>
        <v>0</v>
      </c>
      <c r="AB38" s="59">
        <f t="shared" ref="AB38" si="116">AB39</f>
        <v>0</v>
      </c>
      <c r="AC38" s="59">
        <f t="shared" ref="AC38" si="117">AC39</f>
        <v>0</v>
      </c>
      <c r="AD38" s="59">
        <f t="shared" ref="AD38" si="118">AD39</f>
        <v>0</v>
      </c>
      <c r="AE38" s="59">
        <f t="shared" ref="AE38" si="119">AE39</f>
        <v>0</v>
      </c>
      <c r="AF38" s="59">
        <f t="shared" ref="AF38" si="120">AF39</f>
        <v>0</v>
      </c>
      <c r="AG38" s="59">
        <f t="shared" ref="AG38" si="121">AG39</f>
        <v>9357086.0879999995</v>
      </c>
      <c r="AH38" s="59">
        <f t="shared" ref="AH38" si="122">AH39</f>
        <v>6644045.5456156256</v>
      </c>
      <c r="AI38" s="59">
        <f t="shared" ref="AI38" si="123">AI39</f>
        <v>6513770.1427604174</v>
      </c>
      <c r="AJ38" s="59">
        <f t="shared" ref="AJ38" si="124">AJ39</f>
        <v>3606598.9178093243</v>
      </c>
      <c r="AK38" s="59">
        <f t="shared" ref="AK38" si="125">AK39</f>
        <v>522494.23936700111</v>
      </c>
      <c r="AL38" s="59">
        <f t="shared" ref="AL38" si="126">AL39</f>
        <v>2731855.8940650309</v>
      </c>
      <c r="AM38" s="59">
        <f t="shared" ref="AM38" si="127">AM39</f>
        <v>509724.71151067014</v>
      </c>
      <c r="AN38" s="59">
        <f t="shared" ref="AN38" si="128">AN39</f>
        <v>509724.71151067014</v>
      </c>
      <c r="AO38" s="59">
        <f t="shared" ref="AO38" si="129">AO39</f>
        <v>938171.93758184602</v>
      </c>
      <c r="AP38" s="59">
        <f t="shared" ref="AP38" si="130">AP39</f>
        <v>0</v>
      </c>
      <c r="AQ38" s="59">
        <f t="shared" ref="AQ38" si="131">AQ39</f>
        <v>31333472.188220583</v>
      </c>
      <c r="AR38" s="59">
        <f t="shared" ref="AR38" si="132">AR39</f>
        <v>338892.86864803993</v>
      </c>
      <c r="AS38" s="59">
        <f t="shared" ref="AS38" si="133">AS39</f>
        <v>319637.74358775152</v>
      </c>
      <c r="AT38" s="59">
        <f t="shared" ref="AT38" si="134">AT39</f>
        <v>658530.61223579152</v>
      </c>
      <c r="AU38" s="59">
        <f t="shared" ref="AU38" si="135">AU39</f>
        <v>125818353.86586472</v>
      </c>
    </row>
    <row r="39" spans="1:47" ht="18" thickTop="1" thickBot="1" x14ac:dyDescent="0.25">
      <c r="A39" s="52" t="s">
        <v>71</v>
      </c>
      <c r="B39" s="62" t="s">
        <v>76</v>
      </c>
      <c r="C39" s="58">
        <v>1</v>
      </c>
      <c r="D39" s="53">
        <f>+D13*1.03</f>
        <v>6497976.4500000002</v>
      </c>
      <c r="E39" s="54">
        <f t="shared" ref="E39" si="136">D39*C39*12</f>
        <v>77975717.400000006</v>
      </c>
      <c r="F39" s="54"/>
      <c r="G39" s="54"/>
      <c r="H39" s="54">
        <f t="shared" ref="H39" si="137">(IF(D39&gt;=1853502,0,66098))*12</f>
        <v>0</v>
      </c>
      <c r="I39" s="54">
        <f t="shared" ref="I39" si="138">+(IF(D39&lt;(877803*2),102854,0)*12)</f>
        <v>0</v>
      </c>
      <c r="J39" s="54">
        <f t="shared" ref="J39" si="139">+(E39+H39+I39+(K39/12))/24</f>
        <v>3256885.0713802087</v>
      </c>
      <c r="K39" s="54">
        <f>+IF(D39&lt;1853502,(((D39+(F39/12)+(G39/12))*0.5))*C39,(((D39+(F39/12)+(G39/12))*0.35))*C39)</f>
        <v>2274291.7574999998</v>
      </c>
      <c r="L39" s="54">
        <v>0</v>
      </c>
      <c r="M39" s="54">
        <f>+(E39/12)+J39/12+K39/12+N39/12</f>
        <v>7268067.8213572409</v>
      </c>
      <c r="N39" s="54">
        <f t="shared" ref="N39" si="140">+(((D39+(F39/12)+(G39/12))/2+J39/12+K39/12)*C39)</f>
        <v>3709919.6274066842</v>
      </c>
      <c r="O39" s="54"/>
      <c r="P39" s="54">
        <f t="shared" ref="P39" si="141">SUM(E39:O39)</f>
        <v>94484881.677644134</v>
      </c>
      <c r="Q39" s="54"/>
      <c r="R39" s="54"/>
      <c r="S39" s="54"/>
      <c r="T39" s="54"/>
      <c r="U39" s="54">
        <f t="shared" ref="U39" si="142">SUM(Q39:T39)</f>
        <v>0</v>
      </c>
      <c r="V39" s="54">
        <f t="shared" ref="V39" si="143">P39+U39</f>
        <v>94484881.677644134</v>
      </c>
      <c r="W39" s="54">
        <f t="shared" ref="W39" si="144">+(((D39+(F39/12)+(G39/12))/2+(J39/12)+(K39/12))*23/30)*C39</f>
        <v>2844271.7143451246</v>
      </c>
      <c r="X39" s="54">
        <v>0</v>
      </c>
      <c r="Y39" s="54">
        <f t="shared" ref="Y39" si="145">+((D39/30)*2)*C39</f>
        <v>433198.43</v>
      </c>
      <c r="Z39" s="54">
        <f t="shared" ref="Z39" si="146">SUM(W39:Y39)</f>
        <v>3277470.1443451247</v>
      </c>
      <c r="AA39" s="54"/>
      <c r="AB39" s="54"/>
      <c r="AC39" s="54"/>
      <c r="AD39" s="54"/>
      <c r="AE39" s="54">
        <f t="shared" ref="AE39" si="147">SUM(AA39:AD39)</f>
        <v>0</v>
      </c>
      <c r="AF39" s="54">
        <f t="shared" ref="AF39" si="148">SUM(AA39:AD39)</f>
        <v>0</v>
      </c>
      <c r="AG39" s="54">
        <f t="shared" ref="AG39" si="149">+(((D39+H39/12)*12%)*12)*C39</f>
        <v>9357086.0879999995</v>
      </c>
      <c r="AH39" s="54">
        <f t="shared" ref="AH39" si="150">+(E39+H39+I39+K39/12)*0.085</f>
        <v>6644045.5456156256</v>
      </c>
      <c r="AI39" s="54">
        <f t="shared" ref="AI39" si="151">(E39+H39+I39+K39/12)/12</f>
        <v>6513770.1427604174</v>
      </c>
      <c r="AJ39" s="55">
        <f t="shared" ref="AJ39" si="152">+((D39*0.0462528468870403)*C39)*12</f>
        <v>3606598.9178093243</v>
      </c>
      <c r="AK39" s="55">
        <f t="shared" ref="AK39" si="153">+((D39*0.00670073013482786)*C39)*12</f>
        <v>522494.23936700111</v>
      </c>
      <c r="AL39" s="54">
        <f t="shared" ref="AL39" si="154">+(((D39*0.0350347003548701)*C39)*12)</f>
        <v>2731855.8940650309</v>
      </c>
      <c r="AM39" s="55">
        <f t="shared" ref="AM39" si="155">+(((D39*0.00653696725733068)*C39)*12)</f>
        <v>509724.71151067014</v>
      </c>
      <c r="AN39" s="55">
        <f t="shared" ref="AN39" si="156">+(((D39*0.00653696725733068)*C39)*12)</f>
        <v>509724.71151067014</v>
      </c>
      <c r="AO39" s="54">
        <f t="shared" ref="AO39" si="157">+(((D39*0.0120315909729847)*C39)*12)</f>
        <v>938171.93758184602</v>
      </c>
      <c r="AP39" s="54">
        <v>0</v>
      </c>
      <c r="AQ39" s="56">
        <f t="shared" ref="AQ39" si="158">SUM(AG39:AP39)</f>
        <v>31333472.188220583</v>
      </c>
      <c r="AR39" s="55">
        <f t="shared" ref="AR39" si="159">+(((D39*0.00434613338546905)*C39)*12)</f>
        <v>338892.86864803993</v>
      </c>
      <c r="AS39" s="55">
        <f t="shared" ref="AS39" si="160">+((D39*0.00409919593234485)*C39)*12</f>
        <v>319637.74358775152</v>
      </c>
      <c r="AT39" s="55">
        <f t="shared" ref="AT39" si="161">SUM(AR39:AS39)</f>
        <v>658530.61223579152</v>
      </c>
      <c r="AU39" s="57">
        <f t="shared" ref="AU39" si="162">V39+AF39+AQ39</f>
        <v>125818353.86586472</v>
      </c>
    </row>
    <row r="40" spans="1:47" ht="18" thickTop="1" thickBot="1" x14ac:dyDescent="0.25">
      <c r="A40" s="50" t="s">
        <v>72</v>
      </c>
      <c r="B40" s="51"/>
      <c r="C40" s="36">
        <f>SUM(C41:C42)</f>
        <v>4</v>
      </c>
      <c r="D40" s="59">
        <f t="shared" ref="D40" si="163">SUM(D41:D42)</f>
        <v>2294577.35</v>
      </c>
      <c r="E40" s="59">
        <f t="shared" ref="E40" si="164">SUM(E41:E42)</f>
        <v>55069856.400000006</v>
      </c>
      <c r="F40" s="59">
        <f t="shared" ref="F40" si="165">SUM(F41:F42)</f>
        <v>0</v>
      </c>
      <c r="G40" s="59">
        <f t="shared" ref="G40" si="166">SUM(G41:G42)</f>
        <v>0</v>
      </c>
      <c r="H40" s="59">
        <f t="shared" ref="H40" si="167">SUM(H41:H42)</f>
        <v>1586352</v>
      </c>
      <c r="I40" s="59">
        <f t="shared" ref="I40" si="168">SUM(I41:I42)</f>
        <v>2468496</v>
      </c>
      <c r="J40" s="59">
        <f t="shared" ref="J40" si="169">SUM(J41:J42)</f>
        <v>2471496.6324652778</v>
      </c>
      <c r="K40" s="59">
        <f t="shared" ref="K40" si="170">SUM(K41:K42)</f>
        <v>2294577.35</v>
      </c>
      <c r="L40" s="59">
        <f t="shared" ref="L40" si="171">SUM(L41:L42)</f>
        <v>11472886.750000002</v>
      </c>
      <c r="M40" s="59">
        <f t="shared" ref="M40" si="172">SUM(M41:M42)</f>
        <v>5193000.7167049963</v>
      </c>
      <c r="N40" s="59">
        <f t="shared" ref="N40" si="173">SUM(N41:N42)</f>
        <v>2480078.2179946713</v>
      </c>
      <c r="O40" s="59">
        <f t="shared" ref="O40" si="174">SUM(O41:O42)</f>
        <v>0</v>
      </c>
      <c r="P40" s="59">
        <f t="shared" ref="P40" si="175">SUM(P41:P42)</f>
        <v>83036744.067164958</v>
      </c>
      <c r="Q40" s="59">
        <f t="shared" ref="Q40" si="176">SUM(Q41:Q42)</f>
        <v>0</v>
      </c>
      <c r="R40" s="59">
        <f t="shared" ref="R40" si="177">SUM(R41:R42)</f>
        <v>0</v>
      </c>
      <c r="S40" s="59">
        <f t="shared" ref="S40" si="178">SUM(S41:S42)</f>
        <v>0</v>
      </c>
      <c r="T40" s="59">
        <f t="shared" ref="T40" si="179">SUM(T41:T42)</f>
        <v>0</v>
      </c>
      <c r="U40" s="59">
        <f t="shared" ref="U40" si="180">SUM(U41:U42)</f>
        <v>0</v>
      </c>
      <c r="V40" s="59">
        <f t="shared" ref="V40" si="181">SUM(V41:V42)</f>
        <v>83036744.067164958</v>
      </c>
      <c r="W40" s="59">
        <f t="shared" ref="W40" si="182">SUM(W41:W42)</f>
        <v>3441866.0250000004</v>
      </c>
      <c r="X40" s="59">
        <f t="shared" ref="X40" si="183">SUM(X41:X42)</f>
        <v>0</v>
      </c>
      <c r="Y40" s="59">
        <f t="shared" ref="Y40" si="184">SUM(Y41:Y42)</f>
        <v>305943.64666666673</v>
      </c>
      <c r="Z40" s="59">
        <f t="shared" ref="Z40" si="185">SUM(Z41:Z42)</f>
        <v>3747809.6716666669</v>
      </c>
      <c r="AA40" s="59">
        <f t="shared" ref="AA40" si="186">SUM(AA41:AA42)</f>
        <v>0</v>
      </c>
      <c r="AB40" s="59">
        <f t="shared" ref="AB40" si="187">SUM(AB41:AB42)</f>
        <v>0</v>
      </c>
      <c r="AC40" s="59">
        <f t="shared" ref="AC40" si="188">SUM(AC41:AC42)</f>
        <v>0</v>
      </c>
      <c r="AD40" s="59">
        <f t="shared" ref="AD40" si="189">SUM(AD41:AD42)</f>
        <v>0</v>
      </c>
      <c r="AE40" s="59">
        <f t="shared" ref="AE40" si="190">SUM(AE41:AE42)</f>
        <v>0</v>
      </c>
      <c r="AF40" s="59">
        <f t="shared" ref="AF40" si="191">SUM(AF41:AF42)</f>
        <v>3747809.6716666669</v>
      </c>
      <c r="AG40" s="59">
        <f t="shared" ref="AG40" si="192">SUM(AG41:AG42)</f>
        <v>6989107.2479999997</v>
      </c>
      <c r="AH40" s="59">
        <f t="shared" ref="AH40" si="193">SUM(AH41:AH42)</f>
        <v>5041853.1302291676</v>
      </c>
      <c r="AI40" s="59">
        <f t="shared" ref="AI40" si="194">SUM(AI41:AI42)</f>
        <v>4942993.2649305556</v>
      </c>
      <c r="AJ40" s="59">
        <f t="shared" ref="AJ40" si="195">SUM(AJ41:AJ42)</f>
        <v>2547137.6361604966</v>
      </c>
      <c r="AK40" s="59">
        <f t="shared" ref="AK40" si="196">SUM(AK41:AK42)</f>
        <v>369008.24630012293</v>
      </c>
      <c r="AL40" s="59">
        <f t="shared" ref="AL40" si="197">SUM(AL41:AL42)</f>
        <v>1929355.9175597257</v>
      </c>
      <c r="AM40" s="59">
        <f t="shared" ref="AM40" si="198">SUM(AM41:AM42)</f>
        <v>359989.84815270238</v>
      </c>
      <c r="AN40" s="59">
        <f t="shared" ref="AN40" si="199">SUM(AN41:AN42)</f>
        <v>359989.84815270238</v>
      </c>
      <c r="AO40" s="59">
        <f t="shared" ref="AO40" si="200">SUM(AO41:AO42)</f>
        <v>662577.98714580364</v>
      </c>
      <c r="AP40" s="59">
        <f t="shared" ref="AP40" si="201">SUM(AP41:AP42)</f>
        <v>0</v>
      </c>
      <c r="AQ40" s="59">
        <f t="shared" ref="AQ40" si="202">SUM(AQ41:AQ42)</f>
        <v>23202013.126631275</v>
      </c>
      <c r="AR40" s="59">
        <f t="shared" ref="AR40" si="203">SUM(AR41:AR42)</f>
        <v>239340.94143302646</v>
      </c>
      <c r="AS40" s="59">
        <f t="shared" ref="AS40" si="204">SUM(AS41:AS42)</f>
        <v>225742.131349695</v>
      </c>
      <c r="AT40" s="59">
        <f t="shared" ref="AT40" si="205">SUM(AT41:AT42)</f>
        <v>465083.07278272149</v>
      </c>
      <c r="AU40" s="59">
        <f t="shared" ref="AU40" si="206">SUM(AU41:AU42)</f>
        <v>109986566.8654629</v>
      </c>
    </row>
    <row r="41" spans="1:47" ht="17" thickTop="1" x14ac:dyDescent="0.2">
      <c r="A41" s="24" t="s">
        <v>73</v>
      </c>
      <c r="B41" s="62" t="s">
        <v>77</v>
      </c>
      <c r="C41" s="22">
        <v>2</v>
      </c>
      <c r="D41" s="53">
        <f>+D15*1.03</f>
        <v>1078700.46</v>
      </c>
      <c r="E41" s="17">
        <f t="shared" ref="E41:E42" si="207">D41*C41*12</f>
        <v>25888811.039999999</v>
      </c>
      <c r="F41" s="17">
        <v>0</v>
      </c>
      <c r="G41" s="17"/>
      <c r="H41" s="17">
        <f t="shared" ref="H41:H42" si="208">(IF(D41&gt;=1853502,0,66098))*12</f>
        <v>793176</v>
      </c>
      <c r="I41" s="17">
        <f t="shared" ref="I41:I42" si="209">+(IF(D41&lt;(877803*2),102854,0)*12)</f>
        <v>1234248</v>
      </c>
      <c r="J41" s="17">
        <f t="shared" ref="J41:J42" si="210">+(E41+H41+I41+(K41/12))/24</f>
        <v>1166921.9477083331</v>
      </c>
      <c r="K41" s="17">
        <f t="shared" ref="K41:K42" si="211">+IF(D41&lt;1687295,(((D41+(F41/12)+(G41/12))*0.5))*C41,(((D41+(F41/12)+(G41/12))*0.35))*C41)</f>
        <v>1078700.46</v>
      </c>
      <c r="L41" s="17">
        <f>+((((D41/30)/8)*50)*12)*C41</f>
        <v>5393502.3000000007</v>
      </c>
      <c r="M41" s="17">
        <f t="shared" ref="M41:M42" si="212">+(E41/12)+J41/12+K41/12+N41/12</f>
        <v>2442117.2673112582</v>
      </c>
      <c r="N41" s="17">
        <f t="shared" ref="N41:N42" si="213">+(E41+H41+I41+J41/12+K41/12)/24</f>
        <v>1170973.7600267648</v>
      </c>
      <c r="O41" s="17"/>
      <c r="P41" s="17">
        <f t="shared" ref="P41:P42" si="214">SUM(E41:O41)</f>
        <v>39168450.775046363</v>
      </c>
      <c r="Q41" s="17"/>
      <c r="R41" s="17"/>
      <c r="S41" s="17"/>
      <c r="T41" s="17"/>
      <c r="U41" s="17">
        <f t="shared" ref="U41:U42" si="215">SUM(Q41:T41)</f>
        <v>0</v>
      </c>
      <c r="V41" s="17">
        <f t="shared" ref="V41:V42" si="216">P41+U41</f>
        <v>39168450.775046363</v>
      </c>
      <c r="W41" s="17">
        <f t="shared" ref="W41:W42" si="217">+(E41/360)*22.5</f>
        <v>1618050.69</v>
      </c>
      <c r="X41" s="17">
        <v>0</v>
      </c>
      <c r="Y41" s="17">
        <f t="shared" ref="Y41:Y42" si="218">+((D41/30)*2)*C41</f>
        <v>143826.728</v>
      </c>
      <c r="Z41" s="17">
        <f t="shared" ref="Z41:Z42" si="219">SUM(W41:Y41)</f>
        <v>1761877.4180000001</v>
      </c>
      <c r="AA41" s="17"/>
      <c r="AB41" s="17"/>
      <c r="AC41" s="17"/>
      <c r="AD41" s="17"/>
      <c r="AE41" s="17">
        <f t="shared" ref="AE41:AE42" si="220">SUM(AA41:AD41)</f>
        <v>0</v>
      </c>
      <c r="AF41" s="17">
        <f t="shared" ref="AF41:AF42" si="221">Z41+AE41</f>
        <v>1761877.4180000001</v>
      </c>
      <c r="AG41" s="17">
        <f t="shared" ref="AG41:AG42" si="222">+(((D41+H41/12)*12%)*12)*C41</f>
        <v>3297019.5647999998</v>
      </c>
      <c r="AH41" s="17">
        <f t="shared" ref="AH41:AH42" si="223">+(E41+H41+I41+K41/12)*0.085</f>
        <v>2380520.773325</v>
      </c>
      <c r="AI41" s="17">
        <f t="shared" ref="AI41:AI42" si="224">(E41+H41+I41+K41/12)/12</f>
        <v>2333843.8954166663</v>
      </c>
      <c r="AJ41" s="18">
        <f t="shared" ref="AJ41:AJ42" si="225">+((D41*0.0462528468870403)*C41)*12</f>
        <v>1197431.2131206384</v>
      </c>
      <c r="AK41" s="18">
        <f t="shared" ref="AK41:AK42" si="226">+((D41*0.00670073013482786)*C41)*12</f>
        <v>173473.93629059219</v>
      </c>
      <c r="AL41" s="17">
        <f t="shared" ref="AL41:AL42" si="227">+(((D41*0.0350347003548701)*C41)*12)</f>
        <v>907006.737330253</v>
      </c>
      <c r="AM41" s="18">
        <f t="shared" ref="AM41:AM42" si="228">+(((D41*0.00653696725733068)*C41)*12)</f>
        <v>169234.31009970102</v>
      </c>
      <c r="AN41" s="18">
        <f t="shared" ref="AN41:AN42" si="229">+(((D41*0.00653696725733068)*C41)*12)</f>
        <v>169234.31009970102</v>
      </c>
      <c r="AO41" s="17">
        <f t="shared" ref="AO41:AO42" si="230">+(((D41*0.0120315909729847)*C41)*12)</f>
        <v>311483.5852101706</v>
      </c>
      <c r="AP41" s="17">
        <v>0</v>
      </c>
      <c r="AQ41" s="19">
        <f t="shared" ref="AQ41:AQ42" si="231">SUM(AG41:AP41)</f>
        <v>10939248.325692719</v>
      </c>
      <c r="AR41" s="18">
        <f t="shared" ref="AR41:AR42" si="232">+(((D41*0.00434613338546905)*C41)*12)</f>
        <v>112516.22597104372</v>
      </c>
      <c r="AS41" s="18">
        <f t="shared" ref="AS41:AS42" si="233">+((D41*0.00409919593234485)*C41)*12</f>
        <v>106123.30890841244</v>
      </c>
      <c r="AT41" s="18">
        <f t="shared" ref="AT41:AT42" si="234">SUM(AR41:AS41)</f>
        <v>218639.53487945616</v>
      </c>
      <c r="AU41" s="20">
        <f t="shared" ref="AU41:AU42" si="235">V41+AF41+AQ41</f>
        <v>51869576.518739082</v>
      </c>
    </row>
    <row r="42" spans="1:47" ht="17" thickBot="1" x14ac:dyDescent="0.25">
      <c r="A42" s="24" t="s">
        <v>74</v>
      </c>
      <c r="B42" s="62" t="s">
        <v>78</v>
      </c>
      <c r="C42" s="22">
        <v>2</v>
      </c>
      <c r="D42" s="53">
        <f>+D16*1.03</f>
        <v>1215876.8900000001</v>
      </c>
      <c r="E42" s="17">
        <f t="shared" si="207"/>
        <v>29181045.360000003</v>
      </c>
      <c r="F42" s="17">
        <v>0</v>
      </c>
      <c r="G42" s="17"/>
      <c r="H42" s="17">
        <f t="shared" si="208"/>
        <v>793176</v>
      </c>
      <c r="I42" s="17">
        <f t="shared" si="209"/>
        <v>1234248</v>
      </c>
      <c r="J42" s="17">
        <f t="shared" si="210"/>
        <v>1304574.6847569447</v>
      </c>
      <c r="K42" s="17">
        <f t="shared" si="211"/>
        <v>1215876.8900000001</v>
      </c>
      <c r="L42" s="17">
        <f t="shared" ref="L42" si="236">+((((D42/30)/8)*50)*12)*C42</f>
        <v>6079384.4500000011</v>
      </c>
      <c r="M42" s="17">
        <f t="shared" si="212"/>
        <v>2750883.4493937376</v>
      </c>
      <c r="N42" s="17">
        <f t="shared" si="213"/>
        <v>1309104.4579679063</v>
      </c>
      <c r="O42" s="17"/>
      <c r="P42" s="17">
        <f t="shared" si="214"/>
        <v>43868293.292118594</v>
      </c>
      <c r="Q42" s="17"/>
      <c r="R42" s="17"/>
      <c r="S42" s="17"/>
      <c r="T42" s="17"/>
      <c r="U42" s="17">
        <f t="shared" si="215"/>
        <v>0</v>
      </c>
      <c r="V42" s="17">
        <f t="shared" si="216"/>
        <v>43868293.292118594</v>
      </c>
      <c r="W42" s="17">
        <f t="shared" si="217"/>
        <v>1823815.3350000002</v>
      </c>
      <c r="X42" s="17">
        <v>0</v>
      </c>
      <c r="Y42" s="17">
        <f t="shared" si="218"/>
        <v>162116.91866666669</v>
      </c>
      <c r="Z42" s="17">
        <f t="shared" si="219"/>
        <v>1985932.2536666668</v>
      </c>
      <c r="AA42" s="17"/>
      <c r="AB42" s="17"/>
      <c r="AC42" s="17"/>
      <c r="AD42" s="17"/>
      <c r="AE42" s="17">
        <f t="shared" si="220"/>
        <v>0</v>
      </c>
      <c r="AF42" s="17">
        <f t="shared" si="221"/>
        <v>1985932.2536666668</v>
      </c>
      <c r="AG42" s="17">
        <f t="shared" si="222"/>
        <v>3692087.6832000003</v>
      </c>
      <c r="AH42" s="17">
        <f t="shared" si="223"/>
        <v>2661332.3569041672</v>
      </c>
      <c r="AI42" s="17">
        <f t="shared" si="224"/>
        <v>2609149.3695138893</v>
      </c>
      <c r="AJ42" s="18">
        <f t="shared" si="225"/>
        <v>1349706.423039858</v>
      </c>
      <c r="AK42" s="18">
        <f t="shared" si="226"/>
        <v>195534.31000953072</v>
      </c>
      <c r="AL42" s="17">
        <f t="shared" si="227"/>
        <v>1022349.1802294726</v>
      </c>
      <c r="AM42" s="18">
        <f t="shared" si="228"/>
        <v>190755.53805300136</v>
      </c>
      <c r="AN42" s="18">
        <f t="shared" si="229"/>
        <v>190755.53805300136</v>
      </c>
      <c r="AO42" s="17">
        <f t="shared" si="230"/>
        <v>351094.4019356331</v>
      </c>
      <c r="AP42" s="17">
        <v>0</v>
      </c>
      <c r="AQ42" s="19">
        <f t="shared" si="231"/>
        <v>12262764.800938554</v>
      </c>
      <c r="AR42" s="18">
        <f t="shared" si="232"/>
        <v>126824.71546198273</v>
      </c>
      <c r="AS42" s="18">
        <f t="shared" si="233"/>
        <v>119618.82244128257</v>
      </c>
      <c r="AT42" s="18">
        <f t="shared" si="234"/>
        <v>246443.5379032653</v>
      </c>
      <c r="AU42" s="20">
        <f t="shared" si="235"/>
        <v>58116990.346723817</v>
      </c>
    </row>
    <row r="43" spans="1:47" ht="18" thickTop="1" thickBot="1" x14ac:dyDescent="0.25">
      <c r="A43" s="50" t="s">
        <v>75</v>
      </c>
      <c r="B43" s="51"/>
      <c r="C43" s="36">
        <f t="shared" ref="C43:AU43" si="237">SUM(C44:C45)</f>
        <v>8</v>
      </c>
      <c r="D43" s="59">
        <f t="shared" si="237"/>
        <v>2157400.92</v>
      </c>
      <c r="E43" s="59">
        <f t="shared" si="237"/>
        <v>103555244.16</v>
      </c>
      <c r="F43" s="59">
        <f t="shared" si="237"/>
        <v>0</v>
      </c>
      <c r="G43" s="59">
        <f t="shared" si="237"/>
        <v>0</v>
      </c>
      <c r="H43" s="59">
        <f t="shared" si="237"/>
        <v>1586352</v>
      </c>
      <c r="I43" s="59">
        <f t="shared" si="237"/>
        <v>2468496</v>
      </c>
      <c r="J43" s="59">
        <f t="shared" si="237"/>
        <v>4498735.7908333335</v>
      </c>
      <c r="K43" s="59">
        <f t="shared" si="237"/>
        <v>4314801.84</v>
      </c>
      <c r="L43" s="59">
        <f t="shared" si="237"/>
        <v>21574009.200000003</v>
      </c>
      <c r="M43" s="59">
        <f t="shared" si="237"/>
        <v>9515161.9766724538</v>
      </c>
      <c r="N43" s="59">
        <f t="shared" si="237"/>
        <v>1813161.929236111</v>
      </c>
      <c r="O43" s="59">
        <f t="shared" si="237"/>
        <v>0</v>
      </c>
      <c r="P43" s="59">
        <f t="shared" si="237"/>
        <v>149325962.89674193</v>
      </c>
      <c r="Q43" s="59">
        <f t="shared" si="237"/>
        <v>0</v>
      </c>
      <c r="R43" s="59">
        <f t="shared" si="237"/>
        <v>0</v>
      </c>
      <c r="S43" s="59">
        <f t="shared" si="237"/>
        <v>0</v>
      </c>
      <c r="T43" s="59">
        <f t="shared" si="237"/>
        <v>0</v>
      </c>
      <c r="U43" s="59">
        <f t="shared" si="237"/>
        <v>0</v>
      </c>
      <c r="V43" s="59">
        <f t="shared" si="237"/>
        <v>149325962.89674193</v>
      </c>
      <c r="W43" s="59">
        <f t="shared" si="237"/>
        <v>6616029.4879999999</v>
      </c>
      <c r="X43" s="59">
        <f t="shared" si="237"/>
        <v>20000000</v>
      </c>
      <c r="Y43" s="59">
        <f t="shared" si="237"/>
        <v>575306.91200000001</v>
      </c>
      <c r="Z43" s="59">
        <f t="shared" si="237"/>
        <v>27191336.399999999</v>
      </c>
      <c r="AA43" s="59">
        <f t="shared" si="237"/>
        <v>0</v>
      </c>
      <c r="AB43" s="59">
        <f t="shared" si="237"/>
        <v>0</v>
      </c>
      <c r="AC43" s="59">
        <f t="shared" si="237"/>
        <v>0</v>
      </c>
      <c r="AD43" s="59">
        <f t="shared" si="237"/>
        <v>0</v>
      </c>
      <c r="AE43" s="59">
        <f t="shared" si="237"/>
        <v>0</v>
      </c>
      <c r="AF43" s="59">
        <f t="shared" si="237"/>
        <v>27191336.399999999</v>
      </c>
      <c r="AG43" s="59">
        <f t="shared" si="237"/>
        <v>13188078.259199999</v>
      </c>
      <c r="AH43" s="59">
        <f t="shared" si="237"/>
        <v>9177421.0133000016</v>
      </c>
      <c r="AI43" s="59">
        <f t="shared" si="237"/>
        <v>8629603.6799999997</v>
      </c>
      <c r="AJ43" s="59">
        <f t="shared" si="237"/>
        <v>4789724.8524825536</v>
      </c>
      <c r="AK43" s="59">
        <f t="shared" si="237"/>
        <v>693895.74516236875</v>
      </c>
      <c r="AL43" s="59">
        <f t="shared" si="237"/>
        <v>3628026.949321012</v>
      </c>
      <c r="AM43" s="59">
        <f t="shared" si="237"/>
        <v>676937.24039880396</v>
      </c>
      <c r="AN43" s="59">
        <f t="shared" si="237"/>
        <v>676937.24039880396</v>
      </c>
      <c r="AO43" s="59">
        <f t="shared" si="237"/>
        <v>1245934.3408406824</v>
      </c>
      <c r="AP43" s="59">
        <f t="shared" si="237"/>
        <v>0</v>
      </c>
      <c r="AQ43" s="59">
        <f t="shared" si="237"/>
        <v>42706559.321104236</v>
      </c>
      <c r="AR43" s="59">
        <f t="shared" si="237"/>
        <v>450064.90388417488</v>
      </c>
      <c r="AS43" s="59">
        <f t="shared" si="237"/>
        <v>424493.23563364975</v>
      </c>
      <c r="AT43" s="59">
        <f t="shared" si="237"/>
        <v>874558.13951782463</v>
      </c>
      <c r="AU43" s="59">
        <f t="shared" si="237"/>
        <v>219223858.61784613</v>
      </c>
    </row>
    <row r="44" spans="1:47" ht="17" thickTop="1" x14ac:dyDescent="0.2">
      <c r="A44" s="24" t="s">
        <v>79</v>
      </c>
      <c r="B44" s="62" t="s">
        <v>80</v>
      </c>
      <c r="C44" s="22">
        <v>5</v>
      </c>
      <c r="D44" s="53">
        <f>+D18*1.03</f>
        <v>1078700.46</v>
      </c>
      <c r="E44" s="17">
        <f t="shared" ref="E44:E45" si="238">D44*C44*12</f>
        <v>64722027.599999994</v>
      </c>
      <c r="F44" s="17">
        <v>0</v>
      </c>
      <c r="G44" s="17"/>
      <c r="H44" s="17">
        <f t="shared" ref="H44:H45" si="239">(IF(D44&gt;=1853502,0,66098))*12</f>
        <v>793176</v>
      </c>
      <c r="I44" s="17">
        <f t="shared" ref="I44:I45" si="240">+(IF(D44&lt;(877803*2),102854,0)*12)</f>
        <v>1234248</v>
      </c>
      <c r="J44" s="17">
        <f t="shared" ref="J44:J45" si="241">+(E44+H44+I44+(K44/12))/24</f>
        <v>2790590.8692708332</v>
      </c>
      <c r="K44" s="17">
        <f t="shared" ref="K44:K45" si="242">+IF(D44&lt;1687295,(((D44+(F44/12)+(G44/12))*0.5))*C44,(((D44+(F44/12)+(G44/12))*0.35))*C44)</f>
        <v>2696751.15</v>
      </c>
      <c r="L44" s="17">
        <f t="shared" ref="L44:L45" si="243">+((((D44/30)/8)*50)*12)*C44</f>
        <v>13483755.750000002</v>
      </c>
      <c r="M44" s="17">
        <f t="shared" ref="M44:M45" si="244">+(E44/12)+J44/12+K44/12+N44/12</f>
        <v>5933833.1959063942</v>
      </c>
      <c r="N44" s="17">
        <f t="shared" ref="N44:N45" si="245">+((D44+(F44/12)+(G44/12))/2+J44/12+K44/12)</f>
        <v>996628.73160590266</v>
      </c>
      <c r="O44" s="17"/>
      <c r="P44" s="17">
        <f t="shared" ref="P44:P45" si="246">SUM(E44:O44)</f>
        <v>92651011.296783134</v>
      </c>
      <c r="Q44" s="17"/>
      <c r="R44" s="17"/>
      <c r="S44" s="17"/>
      <c r="T44" s="17"/>
      <c r="U44" s="17">
        <f t="shared" ref="U44:U45" si="247">SUM(Q44:T44)</f>
        <v>0</v>
      </c>
      <c r="V44" s="17">
        <f t="shared" ref="V44:V45" si="248">P44+U44</f>
        <v>92651011.296783134</v>
      </c>
      <c r="W44" s="17">
        <f t="shared" ref="W44:W45" si="249">+(E44/360)*23</f>
        <v>4135018.4299999992</v>
      </c>
      <c r="X44" s="17">
        <v>20000000</v>
      </c>
      <c r="Y44" s="17">
        <f t="shared" ref="Y44:Y45" si="250">+((D44/30)*2)*C44</f>
        <v>359566.82</v>
      </c>
      <c r="Z44" s="17">
        <f t="shared" ref="Z44" si="251">SUM(W44:Y44)</f>
        <v>24494585.25</v>
      </c>
      <c r="AA44" s="17"/>
      <c r="AB44" s="17"/>
      <c r="AC44" s="17"/>
      <c r="AD44" s="17"/>
      <c r="AE44" s="17">
        <f t="shared" ref="AE44:AE45" si="252">SUM(AA44:AD44)</f>
        <v>0</v>
      </c>
      <c r="AF44" s="17">
        <f t="shared" ref="AF44:AF45" si="253">Z44+AE44</f>
        <v>24494585.25</v>
      </c>
      <c r="AG44" s="17">
        <f t="shared" ref="AG44:AG45" si="254">+(((D44+H44/12)*12%)*12)*C44</f>
        <v>8242548.9119999995</v>
      </c>
      <c r="AH44" s="17">
        <f t="shared" ref="AH44:AH45" si="255">+(E44+H44+I44+K44/12)*0.085</f>
        <v>5692805.3733125003</v>
      </c>
      <c r="AI44" s="17">
        <f t="shared" ref="AI44:AI45" si="256">+E44/12</f>
        <v>5393502.2999999998</v>
      </c>
      <c r="AJ44" s="18">
        <f t="shared" ref="AJ44:AJ45" si="257">+((D44*0.0462528468870403)*C44)*12</f>
        <v>2993578.0328015964</v>
      </c>
      <c r="AK44" s="18">
        <f t="shared" ref="AK44:AK45" si="258">+((D44*0.00670073013482786)*C44)*12</f>
        <v>433684.84072648047</v>
      </c>
      <c r="AL44" s="17">
        <f t="shared" ref="AL44:AL45" si="259">+(((D44*0.0350347003548701)*C44)*12)</f>
        <v>2267516.8433256326</v>
      </c>
      <c r="AM44" s="18">
        <f t="shared" ref="AM44:AM45" si="260">+(((D44*0.00653696725733068)*C44)*12)</f>
        <v>423085.7752492525</v>
      </c>
      <c r="AN44" s="18">
        <f t="shared" ref="AN44:AN45" si="261">+(((D44*0.00653696725733068)*C44)*12)</f>
        <v>423085.7752492525</v>
      </c>
      <c r="AO44" s="17">
        <f t="shared" ref="AO44:AO45" si="262">+(((D44*0.0120315909729847)*C44)*12)</f>
        <v>778708.96302542661</v>
      </c>
      <c r="AP44" s="17">
        <v>0</v>
      </c>
      <c r="AQ44" s="19">
        <f t="shared" ref="AQ44:AQ45" si="263">SUM(AG44:AP44)</f>
        <v>26648516.815690149</v>
      </c>
      <c r="AR44" s="18">
        <f t="shared" ref="AR44:AR45" si="264">+(((D44*0.00434613338546905)*C44)*12)</f>
        <v>281290.56492760929</v>
      </c>
      <c r="AS44" s="18">
        <f t="shared" ref="AS44:AS45" si="265">+((D44*0.00409919593234485)*C44)*12</f>
        <v>265308.27227103111</v>
      </c>
      <c r="AT44" s="18">
        <f t="shared" ref="AT44:AT45" si="266">SUM(AR44:AS44)</f>
        <v>546598.83719864045</v>
      </c>
      <c r="AU44" s="20">
        <f t="shared" ref="AU44:AU45" si="267">V44+AF44+AQ44</f>
        <v>143794113.36247328</v>
      </c>
    </row>
    <row r="45" spans="1:47" ht="17" thickBot="1" x14ac:dyDescent="0.25">
      <c r="A45" s="24" t="s">
        <v>81</v>
      </c>
      <c r="B45" s="62" t="s">
        <v>80</v>
      </c>
      <c r="C45" s="22">
        <v>3</v>
      </c>
      <c r="D45" s="53">
        <f>+D19*1.03</f>
        <v>1078700.46</v>
      </c>
      <c r="E45" s="17">
        <f t="shared" si="238"/>
        <v>38833216.560000002</v>
      </c>
      <c r="F45" s="17">
        <v>0</v>
      </c>
      <c r="G45" s="17"/>
      <c r="H45" s="17">
        <f t="shared" si="239"/>
        <v>793176</v>
      </c>
      <c r="I45" s="17">
        <f t="shared" si="240"/>
        <v>1234248</v>
      </c>
      <c r="J45" s="17">
        <f t="shared" si="241"/>
        <v>1708144.9215625001</v>
      </c>
      <c r="K45" s="17">
        <f t="shared" si="242"/>
        <v>1618050.69</v>
      </c>
      <c r="L45" s="17">
        <f t="shared" si="243"/>
        <v>8090253.4500000011</v>
      </c>
      <c r="M45" s="17">
        <f t="shared" si="244"/>
        <v>3581328.7807660596</v>
      </c>
      <c r="N45" s="17">
        <f t="shared" si="245"/>
        <v>816533.19763020833</v>
      </c>
      <c r="O45" s="17"/>
      <c r="P45" s="17">
        <f t="shared" si="246"/>
        <v>56674951.599958777</v>
      </c>
      <c r="Q45" s="17"/>
      <c r="R45" s="17"/>
      <c r="S45" s="17"/>
      <c r="T45" s="17"/>
      <c r="U45" s="17">
        <f t="shared" si="247"/>
        <v>0</v>
      </c>
      <c r="V45" s="17">
        <f t="shared" si="248"/>
        <v>56674951.599958777</v>
      </c>
      <c r="W45" s="17">
        <f t="shared" si="249"/>
        <v>2481011.0580000002</v>
      </c>
      <c r="X45" s="17">
        <v>0</v>
      </c>
      <c r="Y45" s="17">
        <f t="shared" si="250"/>
        <v>215740.092</v>
      </c>
      <c r="Z45" s="17">
        <f t="shared" ref="Z45" si="268">SUM(W45:Y45)</f>
        <v>2696751.1500000004</v>
      </c>
      <c r="AA45" s="17"/>
      <c r="AB45" s="17"/>
      <c r="AC45" s="17"/>
      <c r="AD45" s="17"/>
      <c r="AE45" s="17">
        <f t="shared" si="252"/>
        <v>0</v>
      </c>
      <c r="AF45" s="17">
        <f t="shared" si="253"/>
        <v>2696751.1500000004</v>
      </c>
      <c r="AG45" s="17">
        <f t="shared" si="254"/>
        <v>4945529.3471999997</v>
      </c>
      <c r="AH45" s="17">
        <f t="shared" si="255"/>
        <v>3484615.6399875004</v>
      </c>
      <c r="AI45" s="17">
        <f t="shared" si="256"/>
        <v>3236101.3800000004</v>
      </c>
      <c r="AJ45" s="18">
        <f t="shared" si="257"/>
        <v>1796146.8196809576</v>
      </c>
      <c r="AK45" s="18">
        <f t="shared" si="258"/>
        <v>260210.90443588828</v>
      </c>
      <c r="AL45" s="17">
        <f t="shared" si="259"/>
        <v>1360510.1059953794</v>
      </c>
      <c r="AM45" s="18">
        <f t="shared" si="260"/>
        <v>253851.46514955151</v>
      </c>
      <c r="AN45" s="18">
        <f t="shared" si="261"/>
        <v>253851.46514955151</v>
      </c>
      <c r="AO45" s="17">
        <f t="shared" si="262"/>
        <v>467225.3778152559</v>
      </c>
      <c r="AP45" s="17">
        <v>0</v>
      </c>
      <c r="AQ45" s="19">
        <f t="shared" si="263"/>
        <v>16058042.505414085</v>
      </c>
      <c r="AR45" s="18">
        <f t="shared" si="264"/>
        <v>168774.3389565656</v>
      </c>
      <c r="AS45" s="18">
        <f t="shared" si="265"/>
        <v>159184.96336261864</v>
      </c>
      <c r="AT45" s="18">
        <f t="shared" si="266"/>
        <v>327959.30231918424</v>
      </c>
      <c r="AU45" s="20">
        <f t="shared" si="267"/>
        <v>75429745.255372867</v>
      </c>
    </row>
    <row r="46" spans="1:47" ht="18" thickTop="1" thickBot="1" x14ac:dyDescent="0.25">
      <c r="A46" s="25" t="s">
        <v>60</v>
      </c>
      <c r="B46" s="26"/>
      <c r="C46" s="60">
        <f t="shared" ref="C46:AU46" si="269">C38+C40+C43</f>
        <v>13</v>
      </c>
      <c r="D46" s="61">
        <f t="shared" si="269"/>
        <v>10949954.720000001</v>
      </c>
      <c r="E46" s="61">
        <f t="shared" si="269"/>
        <v>236600817.96000001</v>
      </c>
      <c r="F46" s="61">
        <f t="shared" si="269"/>
        <v>0</v>
      </c>
      <c r="G46" s="61">
        <f t="shared" si="269"/>
        <v>0</v>
      </c>
      <c r="H46" s="61">
        <f t="shared" si="269"/>
        <v>3172704</v>
      </c>
      <c r="I46" s="61">
        <f t="shared" si="269"/>
        <v>4936992</v>
      </c>
      <c r="J46" s="61">
        <f t="shared" si="269"/>
        <v>10227117.49467882</v>
      </c>
      <c r="K46" s="61">
        <f t="shared" si="269"/>
        <v>8883670.9474999998</v>
      </c>
      <c r="L46" s="61">
        <f t="shared" si="269"/>
        <v>33046895.950000003</v>
      </c>
      <c r="M46" s="61">
        <f t="shared" si="269"/>
        <v>21976230.514734693</v>
      </c>
      <c r="N46" s="61">
        <f t="shared" si="269"/>
        <v>8003159.7746374672</v>
      </c>
      <c r="O46" s="61">
        <f t="shared" si="269"/>
        <v>0</v>
      </c>
      <c r="P46" s="61">
        <f t="shared" si="269"/>
        <v>326847588.64155102</v>
      </c>
      <c r="Q46" s="61">
        <f t="shared" si="269"/>
        <v>0</v>
      </c>
      <c r="R46" s="61">
        <f t="shared" si="269"/>
        <v>0</v>
      </c>
      <c r="S46" s="61">
        <f t="shared" si="269"/>
        <v>0</v>
      </c>
      <c r="T46" s="61">
        <f t="shared" si="269"/>
        <v>0</v>
      </c>
      <c r="U46" s="61">
        <f t="shared" si="269"/>
        <v>0</v>
      </c>
      <c r="V46" s="61">
        <f t="shared" si="269"/>
        <v>326847588.64155102</v>
      </c>
      <c r="W46" s="61">
        <f t="shared" si="269"/>
        <v>12902167.227345124</v>
      </c>
      <c r="X46" s="61">
        <f t="shared" si="269"/>
        <v>20000000</v>
      </c>
      <c r="Y46" s="61">
        <f t="shared" si="269"/>
        <v>1314448.9886666667</v>
      </c>
      <c r="Z46" s="61">
        <f t="shared" si="269"/>
        <v>34216616.216011792</v>
      </c>
      <c r="AA46" s="61">
        <f t="shared" si="269"/>
        <v>0</v>
      </c>
      <c r="AB46" s="61">
        <f t="shared" si="269"/>
        <v>0</v>
      </c>
      <c r="AC46" s="61">
        <f t="shared" si="269"/>
        <v>0</v>
      </c>
      <c r="AD46" s="61">
        <f t="shared" si="269"/>
        <v>0</v>
      </c>
      <c r="AE46" s="61">
        <f t="shared" si="269"/>
        <v>0</v>
      </c>
      <c r="AF46" s="61">
        <f t="shared" si="269"/>
        <v>30939146.071666665</v>
      </c>
      <c r="AG46" s="61">
        <f t="shared" si="269"/>
        <v>29534271.595199998</v>
      </c>
      <c r="AH46" s="61">
        <f t="shared" si="269"/>
        <v>20863319.689144794</v>
      </c>
      <c r="AI46" s="61">
        <f t="shared" si="269"/>
        <v>20086367.087690972</v>
      </c>
      <c r="AJ46" s="61">
        <f t="shared" si="269"/>
        <v>10943461.406452375</v>
      </c>
      <c r="AK46" s="61">
        <f t="shared" si="269"/>
        <v>1585398.2308294927</v>
      </c>
      <c r="AL46" s="61">
        <f t="shared" si="269"/>
        <v>8289238.7609457681</v>
      </c>
      <c r="AM46" s="61">
        <f t="shared" si="269"/>
        <v>1546651.8000621765</v>
      </c>
      <c r="AN46" s="61">
        <f t="shared" si="269"/>
        <v>1546651.8000621765</v>
      </c>
      <c r="AO46" s="61">
        <f t="shared" si="269"/>
        <v>2846684.2655683318</v>
      </c>
      <c r="AP46" s="61">
        <f t="shared" si="269"/>
        <v>0</v>
      </c>
      <c r="AQ46" s="61">
        <f t="shared" si="269"/>
        <v>97242044.635956094</v>
      </c>
      <c r="AR46" s="61">
        <f t="shared" si="269"/>
        <v>1028298.7139652412</v>
      </c>
      <c r="AS46" s="61">
        <f t="shared" si="269"/>
        <v>969873.1105710963</v>
      </c>
      <c r="AT46" s="61">
        <f t="shared" si="269"/>
        <v>1998171.8245363375</v>
      </c>
      <c r="AU46" s="61">
        <f t="shared" si="269"/>
        <v>455028779.34917378</v>
      </c>
    </row>
    <row r="47" spans="1:47" ht="18" thickTop="1" thickBot="1" x14ac:dyDescent="0.25">
      <c r="A47" s="10" t="s">
        <v>61</v>
      </c>
      <c r="B47" s="28"/>
      <c r="C47" s="28"/>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30"/>
      <c r="AH47" s="30"/>
      <c r="AI47" s="30"/>
      <c r="AJ47" s="30"/>
      <c r="AK47" s="30"/>
      <c r="AL47" s="30"/>
      <c r="AM47" s="30"/>
      <c r="AN47" s="30"/>
      <c r="AO47" s="29"/>
      <c r="AP47" s="29"/>
      <c r="AQ47" s="31"/>
      <c r="AR47" s="30"/>
      <c r="AS47" s="30"/>
      <c r="AT47" s="30"/>
      <c r="AU47" s="31"/>
    </row>
    <row r="48" spans="1:47" ht="31" customHeight="1" thickTop="1" x14ac:dyDescent="0.2">
      <c r="A48" s="136" t="s">
        <v>130</v>
      </c>
      <c r="B48" s="136"/>
      <c r="C48" s="136"/>
      <c r="D48" s="136"/>
    </row>
  </sheetData>
  <sheetProtection algorithmName="SHA-512" hashValue="M3nJ2T5x4UAXYqmaIPlUEkfEBs6+LeThdFUQxuzJX1ktKPbb7PkGCPjXYBlHU11bjEmIen+mj9lvGy71hBN6Zw==" saltValue="iB9L8a7Fm+LH1fe36Nfdbw==" spinCount="100000" sheet="1" objects="1" scenarios="1"/>
  <mergeCells count="119">
    <mergeCell ref="A1:AU1"/>
    <mergeCell ref="A6:A9"/>
    <mergeCell ref="B6:B9"/>
    <mergeCell ref="C6:C9"/>
    <mergeCell ref="D6:V6"/>
    <mergeCell ref="W6:AF6"/>
    <mergeCell ref="R8:R9"/>
    <mergeCell ref="N8:N9"/>
    <mergeCell ref="O8:O9"/>
    <mergeCell ref="P8:P9"/>
    <mergeCell ref="Q8:Q9"/>
    <mergeCell ref="AE8:AE9"/>
    <mergeCell ref="AR6:AT6"/>
    <mergeCell ref="AU6:AU9"/>
    <mergeCell ref="D7:P7"/>
    <mergeCell ref="Q7:U7"/>
    <mergeCell ref="V7:V9"/>
    <mergeCell ref="W7:Z7"/>
    <mergeCell ref="AA7:AE7"/>
    <mergeCell ref="AF7:AF9"/>
    <mergeCell ref="AG7:AG9"/>
    <mergeCell ref="AH7:AH9"/>
    <mergeCell ref="AG6:AQ6"/>
    <mergeCell ref="AI7:AI9"/>
    <mergeCell ref="AS7:AS9"/>
    <mergeCell ref="AT7:AT9"/>
    <mergeCell ref="D8:E8"/>
    <mergeCell ref="F8:F9"/>
    <mergeCell ref="G8:G9"/>
    <mergeCell ref="H8:H9"/>
    <mergeCell ref="I8:I9"/>
    <mergeCell ref="J8:J9"/>
    <mergeCell ref="K8:K9"/>
    <mergeCell ref="L8:L9"/>
    <mergeCell ref="AM7:AM9"/>
    <mergeCell ref="AN7:AN9"/>
    <mergeCell ref="AO7:AO9"/>
    <mergeCell ref="AP7:AP9"/>
    <mergeCell ref="AQ7:AQ9"/>
    <mergeCell ref="M8:M9"/>
    <mergeCell ref="AR7:AR9"/>
    <mergeCell ref="AJ7:AJ9"/>
    <mergeCell ref="AK7:AK9"/>
    <mergeCell ref="AL7:AL9"/>
    <mergeCell ref="S8:S9"/>
    <mergeCell ref="T8:T9"/>
    <mergeCell ref="U8:U9"/>
    <mergeCell ref="W8:W9"/>
    <mergeCell ref="B4:E4"/>
    <mergeCell ref="B3:E3"/>
    <mergeCell ref="B28:E28"/>
    <mergeCell ref="B29:E29"/>
    <mergeCell ref="B30:E30"/>
    <mergeCell ref="B2:E2"/>
    <mergeCell ref="AD8:AD9"/>
    <mergeCell ref="Y8:Y9"/>
    <mergeCell ref="Z8:Z9"/>
    <mergeCell ref="AA8:AA9"/>
    <mergeCell ref="AB8:AB9"/>
    <mergeCell ref="AC8:AC9"/>
    <mergeCell ref="A22:D23"/>
    <mergeCell ref="X8:X9"/>
    <mergeCell ref="D9:D10"/>
    <mergeCell ref="C32:C35"/>
    <mergeCell ref="D32:V32"/>
    <mergeCell ref="W32:AF32"/>
    <mergeCell ref="S34:S35"/>
    <mergeCell ref="T34:T35"/>
    <mergeCell ref="U34:U35"/>
    <mergeCell ref="W34:W35"/>
    <mergeCell ref="X34:X35"/>
    <mergeCell ref="Y34:Y35"/>
    <mergeCell ref="Z34:Z35"/>
    <mergeCell ref="AA34:AA35"/>
    <mergeCell ref="AB34:AB35"/>
    <mergeCell ref="AC34:AC35"/>
    <mergeCell ref="AD34:AD35"/>
    <mergeCell ref="AG32:AQ32"/>
    <mergeCell ref="AR32:AT32"/>
    <mergeCell ref="AU32:AU35"/>
    <mergeCell ref="D33:P33"/>
    <mergeCell ref="Q33:U33"/>
    <mergeCell ref="V33:V35"/>
    <mergeCell ref="W33:Z33"/>
    <mergeCell ref="AA33:AE33"/>
    <mergeCell ref="AF33:AF35"/>
    <mergeCell ref="AG33:AG35"/>
    <mergeCell ref="AH33:AH35"/>
    <mergeCell ref="AI33:AI35"/>
    <mergeCell ref="AJ33:AJ35"/>
    <mergeCell ref="AK33:AK35"/>
    <mergeCell ref="AL33:AL35"/>
    <mergeCell ref="AM33:AM35"/>
    <mergeCell ref="AE34:AE35"/>
    <mergeCell ref="D35:D36"/>
    <mergeCell ref="A48:D48"/>
    <mergeCell ref="AS33:AS35"/>
    <mergeCell ref="AT33:AT35"/>
    <mergeCell ref="D34:E34"/>
    <mergeCell ref="F34:F35"/>
    <mergeCell ref="G34:G35"/>
    <mergeCell ref="H34:H35"/>
    <mergeCell ref="I34:I35"/>
    <mergeCell ref="J34:J35"/>
    <mergeCell ref="K34:K35"/>
    <mergeCell ref="L34:L35"/>
    <mergeCell ref="M34:M35"/>
    <mergeCell ref="N34:N35"/>
    <mergeCell ref="O34:O35"/>
    <mergeCell ref="P34:P35"/>
    <mergeCell ref="Q34:Q35"/>
    <mergeCell ref="R34:R35"/>
    <mergeCell ref="AN33:AN35"/>
    <mergeCell ref="AO33:AO35"/>
    <mergeCell ref="AP33:AP35"/>
    <mergeCell ref="AQ33:AQ35"/>
    <mergeCell ref="AR33:AR35"/>
    <mergeCell ref="A32:A35"/>
    <mergeCell ref="B32:B35"/>
  </mergeCells>
  <pageMargins left="0.7" right="0.7" top="0.75" bottom="0.75" header="0.3" footer="0.3"/>
  <ignoredErrors>
    <ignoredError sqref="C12:AU12 C16 C14:D14 C19 C17:D17 F17 U17 C38:AU38 C15 H15:AU15 H16:AU16 C18 H18:AU18 H19:AU19 C13 E13:AU13 E15:F15 E16:F16 E18:F18 E19:F19" unlockedFormula="1"/>
    <ignoredError sqref="B30 B13:B20 B39:B45" numberStoredAsText="1"/>
    <ignoredError sqref="E14:AU14 E17 G17:T17 V17:AJ17 AK17:AU17" formula="1" unlockedFormula="1"/>
    <ignoredError sqref="C39 AU39 C42:F42 C40 AU41:AU42 C45:F45 C43 AU44:AU45 C41:F41 H41:AT41 H42:AT42 C44:F44 H44:AT44 H45:AT45 E39:AT39" numberStoredAsText="1" unlockedFormula="1"/>
    <ignoredError sqref="AU40 D40:AT40 AU43 D43:AT43" numberStoredAsText="1" formula="1" unlockedFormula="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4CCC1-A122-864B-BE38-29AC1EB35DAE}">
  <dimension ref="B4:J30"/>
  <sheetViews>
    <sheetView workbookViewId="0">
      <selection activeCell="I10" sqref="I10"/>
    </sheetView>
  </sheetViews>
  <sheetFormatPr baseColWidth="10" defaultRowHeight="16" x14ac:dyDescent="0.2"/>
  <cols>
    <col min="2" max="2" width="37.1640625" customWidth="1"/>
    <col min="3" max="4" width="10" customWidth="1"/>
    <col min="5" max="5" width="16.6640625" customWidth="1"/>
    <col min="6" max="6" width="54.1640625" customWidth="1"/>
    <col min="7" max="7" width="8.83203125" customWidth="1"/>
    <col min="8" max="8" width="8" customWidth="1"/>
    <col min="9" max="9" width="15" customWidth="1"/>
    <col min="10" max="10" width="30.83203125" customWidth="1"/>
  </cols>
  <sheetData>
    <row r="4" spans="2:10" x14ac:dyDescent="0.2">
      <c r="B4" s="49" t="s">
        <v>64</v>
      </c>
      <c r="C4" s="113" t="s">
        <v>67</v>
      </c>
      <c r="D4" s="113"/>
      <c r="E4" s="113"/>
      <c r="F4" s="113"/>
    </row>
    <row r="5" spans="2:10" x14ac:dyDescent="0.2">
      <c r="B5" s="49" t="s">
        <v>65</v>
      </c>
      <c r="C5" s="114" t="s">
        <v>91</v>
      </c>
      <c r="D5" s="114"/>
      <c r="E5" s="114"/>
      <c r="F5" s="114"/>
    </row>
    <row r="6" spans="2:10" x14ac:dyDescent="0.2">
      <c r="B6" s="49" t="s">
        <v>66</v>
      </c>
      <c r="C6" s="115">
        <v>2021</v>
      </c>
      <c r="D6" s="115"/>
      <c r="E6" s="115"/>
      <c r="F6" s="115"/>
    </row>
    <row r="7" spans="2:10" ht="17" thickBot="1" x14ac:dyDescent="0.25"/>
    <row r="8" spans="2:10" ht="17" thickBot="1" x14ac:dyDescent="0.25">
      <c r="B8" s="138" t="s">
        <v>86</v>
      </c>
      <c r="C8" s="139"/>
      <c r="D8" s="139"/>
      <c r="E8" s="140"/>
      <c r="F8" s="138" t="s">
        <v>87</v>
      </c>
      <c r="G8" s="139"/>
      <c r="H8" s="139"/>
      <c r="I8" s="140"/>
      <c r="J8" s="141" t="s">
        <v>90</v>
      </c>
    </row>
    <row r="9" spans="2:10" ht="31" customHeight="1" thickBot="1" x14ac:dyDescent="0.25">
      <c r="B9" s="92" t="s">
        <v>83</v>
      </c>
      <c r="C9" s="92" t="s">
        <v>1</v>
      </c>
      <c r="D9" s="92" t="s">
        <v>84</v>
      </c>
      <c r="E9" s="92" t="s">
        <v>85</v>
      </c>
      <c r="F9" s="92" t="s">
        <v>83</v>
      </c>
      <c r="G9" s="92" t="s">
        <v>1</v>
      </c>
      <c r="H9" s="92" t="s">
        <v>84</v>
      </c>
      <c r="I9" s="92" t="s">
        <v>88</v>
      </c>
      <c r="J9" s="142"/>
    </row>
    <row r="10" spans="2:10" x14ac:dyDescent="0.2">
      <c r="B10" s="65" t="s">
        <v>71</v>
      </c>
      <c r="C10" s="70" t="s">
        <v>76</v>
      </c>
      <c r="D10" s="80">
        <v>1</v>
      </c>
      <c r="E10" s="75">
        <f>Cargos_Suprimir!AU13</f>
        <v>122153741.61734438</v>
      </c>
      <c r="F10" s="83" t="s">
        <v>59</v>
      </c>
      <c r="G10" s="76">
        <v>19</v>
      </c>
      <c r="H10" s="76">
        <v>1</v>
      </c>
      <c r="I10" s="66">
        <f>Cargos_Crear!AU13</f>
        <v>218248358.6754337</v>
      </c>
      <c r="J10" s="87">
        <f>E10-I10</f>
        <v>-96094617.058089316</v>
      </c>
    </row>
    <row r="11" spans="2:10" x14ac:dyDescent="0.2">
      <c r="B11" s="67" t="s">
        <v>73</v>
      </c>
      <c r="C11" s="71" t="s">
        <v>77</v>
      </c>
      <c r="D11" s="81">
        <v>2</v>
      </c>
      <c r="E11" s="77">
        <f>Cargos_Suprimir!AU15</f>
        <v>50438688.417496145</v>
      </c>
      <c r="F11" s="84" t="s">
        <v>63</v>
      </c>
      <c r="G11" s="78">
        <v>19</v>
      </c>
      <c r="H11" s="78">
        <v>1</v>
      </c>
      <c r="I11" s="63">
        <f>Cargos_Crear!AU14</f>
        <v>218248358.6754337</v>
      </c>
      <c r="J11" s="88">
        <f t="shared" ref="J11:J14" si="0">E11-I11</f>
        <v>-167809670.25793755</v>
      </c>
    </row>
    <row r="12" spans="2:10" x14ac:dyDescent="0.2">
      <c r="B12" s="67" t="s">
        <v>74</v>
      </c>
      <c r="C12" s="71" t="s">
        <v>78</v>
      </c>
      <c r="D12" s="81">
        <v>2</v>
      </c>
      <c r="E12" s="77">
        <f>Cargos_Suprimir!AU16</f>
        <v>56504138.735927925</v>
      </c>
      <c r="F12" s="85"/>
      <c r="G12" s="72"/>
      <c r="H12" s="72"/>
      <c r="I12" s="64"/>
      <c r="J12" s="88">
        <f t="shared" si="0"/>
        <v>56504138.735927925</v>
      </c>
    </row>
    <row r="13" spans="2:10" x14ac:dyDescent="0.2">
      <c r="B13" s="67" t="s">
        <v>79</v>
      </c>
      <c r="C13" s="71" t="s">
        <v>80</v>
      </c>
      <c r="D13" s="81">
        <v>5</v>
      </c>
      <c r="E13" s="77">
        <f>Cargos_Suprimir!AU18</f>
        <v>140269279.06877664</v>
      </c>
      <c r="F13" s="85"/>
      <c r="G13" s="72"/>
      <c r="H13" s="72"/>
      <c r="I13" s="64"/>
      <c r="J13" s="88">
        <f t="shared" si="0"/>
        <v>140269279.06877664</v>
      </c>
    </row>
    <row r="14" spans="2:10" ht="17" thickBot="1" x14ac:dyDescent="0.25">
      <c r="B14" s="68" t="s">
        <v>81</v>
      </c>
      <c r="C14" s="73" t="s">
        <v>80</v>
      </c>
      <c r="D14" s="82">
        <v>3</v>
      </c>
      <c r="E14" s="79">
        <f>Cargos_Suprimir!AU19</f>
        <v>73308037.346154869</v>
      </c>
      <c r="F14" s="86"/>
      <c r="G14" s="74"/>
      <c r="H14" s="74"/>
      <c r="I14" s="69"/>
      <c r="J14" s="89">
        <f t="shared" si="0"/>
        <v>73308037.346154869</v>
      </c>
    </row>
    <row r="15" spans="2:10" ht="17" thickBot="1" x14ac:dyDescent="0.25">
      <c r="B15" s="143" t="s">
        <v>89</v>
      </c>
      <c r="C15" s="144"/>
      <c r="D15" s="91">
        <f>SUM(D10:D14)</f>
        <v>13</v>
      </c>
      <c r="E15" s="90">
        <f>SUM(E10:E14)</f>
        <v>442673885.1857</v>
      </c>
      <c r="F15" s="143" t="s">
        <v>89</v>
      </c>
      <c r="G15" s="144"/>
      <c r="H15" s="91">
        <f>SUM(H10:H14)</f>
        <v>2</v>
      </c>
      <c r="I15" s="90">
        <f>SUM(I10:I14)</f>
        <v>436496717.35086739</v>
      </c>
      <c r="J15" s="90">
        <f>SUM(J10:J14)</f>
        <v>6177167.8348325789</v>
      </c>
    </row>
    <row r="19" spans="2:10" x14ac:dyDescent="0.2">
      <c r="B19" s="49" t="s">
        <v>64</v>
      </c>
      <c r="C19" s="113" t="s">
        <v>67</v>
      </c>
      <c r="D19" s="113"/>
      <c r="E19" s="113"/>
      <c r="F19" s="113"/>
    </row>
    <row r="20" spans="2:10" x14ac:dyDescent="0.2">
      <c r="B20" s="49" t="s">
        <v>65</v>
      </c>
      <c r="C20" s="114" t="s">
        <v>91</v>
      </c>
      <c r="D20" s="114"/>
      <c r="E20" s="114"/>
      <c r="F20" s="114"/>
    </row>
    <row r="21" spans="2:10" x14ac:dyDescent="0.2">
      <c r="B21" s="49" t="s">
        <v>66</v>
      </c>
      <c r="C21" s="115" t="s">
        <v>69</v>
      </c>
      <c r="D21" s="115"/>
      <c r="E21" s="115"/>
      <c r="F21" s="115"/>
    </row>
    <row r="22" spans="2:10" ht="17" thickBot="1" x14ac:dyDescent="0.25"/>
    <row r="23" spans="2:10" ht="17" thickBot="1" x14ac:dyDescent="0.25">
      <c r="B23" s="138" t="s">
        <v>86</v>
      </c>
      <c r="C23" s="139"/>
      <c r="D23" s="139"/>
      <c r="E23" s="140"/>
      <c r="F23" s="138" t="s">
        <v>87</v>
      </c>
      <c r="G23" s="139"/>
      <c r="H23" s="139"/>
      <c r="I23" s="140"/>
      <c r="J23" s="141" t="s">
        <v>90</v>
      </c>
    </row>
    <row r="24" spans="2:10" ht="31" thickBot="1" x14ac:dyDescent="0.25">
      <c r="B24" s="92" t="s">
        <v>83</v>
      </c>
      <c r="C24" s="92" t="s">
        <v>1</v>
      </c>
      <c r="D24" s="92" t="s">
        <v>84</v>
      </c>
      <c r="E24" s="92" t="s">
        <v>85</v>
      </c>
      <c r="F24" s="92" t="s">
        <v>83</v>
      </c>
      <c r="G24" s="92" t="s">
        <v>1</v>
      </c>
      <c r="H24" s="92" t="s">
        <v>84</v>
      </c>
      <c r="I24" s="92" t="s">
        <v>88</v>
      </c>
      <c r="J24" s="142"/>
    </row>
    <row r="25" spans="2:10" x14ac:dyDescent="0.2">
      <c r="B25" s="65" t="s">
        <v>71</v>
      </c>
      <c r="C25" s="70" t="s">
        <v>76</v>
      </c>
      <c r="D25" s="80">
        <v>1</v>
      </c>
      <c r="E25" s="75">
        <f>Cargos_Suprimir!AU39</f>
        <v>125818353.86586472</v>
      </c>
      <c r="F25" s="83" t="s">
        <v>59</v>
      </c>
      <c r="G25" s="76">
        <v>19</v>
      </c>
      <c r="H25" s="76">
        <v>1</v>
      </c>
      <c r="I25" s="66">
        <f>Cargos_Crear!AU34</f>
        <v>224795809.43569675</v>
      </c>
      <c r="J25" s="87">
        <f t="shared" ref="J25:J29" si="1">E25-I25</f>
        <v>-98977455.569832027</v>
      </c>
    </row>
    <row r="26" spans="2:10" x14ac:dyDescent="0.2">
      <c r="B26" s="67" t="s">
        <v>73</v>
      </c>
      <c r="C26" s="71" t="s">
        <v>77</v>
      </c>
      <c r="D26" s="81">
        <v>2</v>
      </c>
      <c r="E26" s="77">
        <f>Cargos_Suprimir!AU41</f>
        <v>51869576.518739082</v>
      </c>
      <c r="F26" s="84" t="s">
        <v>63</v>
      </c>
      <c r="G26" s="78">
        <v>19</v>
      </c>
      <c r="H26" s="78">
        <v>1</v>
      </c>
      <c r="I26" s="63">
        <f>Cargos_Crear!AU35</f>
        <v>224795809.43569675</v>
      </c>
      <c r="J26" s="88">
        <f t="shared" si="1"/>
        <v>-172926232.91695768</v>
      </c>
    </row>
    <row r="27" spans="2:10" x14ac:dyDescent="0.2">
      <c r="B27" s="67" t="s">
        <v>74</v>
      </c>
      <c r="C27" s="71" t="s">
        <v>78</v>
      </c>
      <c r="D27" s="81">
        <v>2</v>
      </c>
      <c r="E27" s="77">
        <f>Cargos_Suprimir!AU42</f>
        <v>58116990.346723817</v>
      </c>
      <c r="F27" s="85"/>
      <c r="G27" s="72"/>
      <c r="H27" s="72"/>
      <c r="I27" s="64"/>
      <c r="J27" s="88">
        <f t="shared" si="1"/>
        <v>58116990.346723817</v>
      </c>
    </row>
    <row r="28" spans="2:10" x14ac:dyDescent="0.2">
      <c r="B28" s="67" t="s">
        <v>79</v>
      </c>
      <c r="C28" s="71" t="s">
        <v>80</v>
      </c>
      <c r="D28" s="81">
        <v>5</v>
      </c>
      <c r="E28" s="77">
        <f>Cargos_Suprimir!AU44</f>
        <v>143794113.36247328</v>
      </c>
      <c r="F28" s="85"/>
      <c r="G28" s="72"/>
      <c r="H28" s="72"/>
      <c r="I28" s="64"/>
      <c r="J28" s="88">
        <f t="shared" si="1"/>
        <v>143794113.36247328</v>
      </c>
    </row>
    <row r="29" spans="2:10" ht="17" thickBot="1" x14ac:dyDescent="0.25">
      <c r="B29" s="68" t="s">
        <v>81</v>
      </c>
      <c r="C29" s="73" t="s">
        <v>80</v>
      </c>
      <c r="D29" s="82">
        <v>3</v>
      </c>
      <c r="E29" s="79">
        <f>Cargos_Suprimir!AU45</f>
        <v>75429745.255372867</v>
      </c>
      <c r="F29" s="86"/>
      <c r="G29" s="74"/>
      <c r="H29" s="74"/>
      <c r="I29" s="69"/>
      <c r="J29" s="89">
        <f t="shared" si="1"/>
        <v>75429745.255372867</v>
      </c>
    </row>
    <row r="30" spans="2:10" ht="17" thickBot="1" x14ac:dyDescent="0.25">
      <c r="B30" s="143" t="s">
        <v>89</v>
      </c>
      <c r="C30" s="144"/>
      <c r="D30" s="91">
        <f>SUM(D25:D29)</f>
        <v>13</v>
      </c>
      <c r="E30" s="90">
        <f>SUM(E25:E29)</f>
        <v>455028779.34917378</v>
      </c>
      <c r="F30" s="143" t="s">
        <v>89</v>
      </c>
      <c r="G30" s="144"/>
      <c r="H30" s="91">
        <f>SUM(H25:H29)</f>
        <v>2</v>
      </c>
      <c r="I30" s="90">
        <f>SUM(I25:I29)</f>
        <v>449591618.8713935</v>
      </c>
      <c r="J30" s="90">
        <f>SUM(J25:J29)</f>
        <v>5437160.4777802676</v>
      </c>
    </row>
  </sheetData>
  <sheetProtection algorithmName="SHA-512" hashValue="vJxcGs939yNRejTgrudTQ9diAOemCgldllIU0eOHgvrIna5Q8Eqa+4LqgdTIJyUAmpE2NNa0xQgUZR34wURKtA==" saltValue="sxjgtEn0WG8/MPqM06qNFA==" spinCount="100000" sheet="1" objects="1" scenarios="1"/>
  <mergeCells count="16">
    <mergeCell ref="C21:F21"/>
    <mergeCell ref="B8:E8"/>
    <mergeCell ref="F8:I8"/>
    <mergeCell ref="J8:J9"/>
    <mergeCell ref="B15:C15"/>
    <mergeCell ref="F15:G15"/>
    <mergeCell ref="C4:F4"/>
    <mergeCell ref="C5:F5"/>
    <mergeCell ref="C6:F6"/>
    <mergeCell ref="C19:F19"/>
    <mergeCell ref="C20:F20"/>
    <mergeCell ref="B23:E23"/>
    <mergeCell ref="F23:I23"/>
    <mergeCell ref="J23:J24"/>
    <mergeCell ref="B30:C30"/>
    <mergeCell ref="F30:G30"/>
  </mergeCells>
  <pageMargins left="0.7" right="0.7" top="0.75" bottom="0.75" header="0.3" footer="0.3"/>
  <ignoredErrors>
    <ignoredError sqref="C10:C14 C21 C25:C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B29A9-E4A5-784B-B50B-FBD5F8FB06BA}">
  <dimension ref="A1:H15"/>
  <sheetViews>
    <sheetView workbookViewId="0">
      <selection activeCell="D7" sqref="D7"/>
    </sheetView>
  </sheetViews>
  <sheetFormatPr baseColWidth="10" defaultRowHeight="16" x14ac:dyDescent="0.2"/>
  <cols>
    <col min="1" max="1" width="10.83203125" style="110"/>
    <col min="2" max="2" width="17.5" style="110" customWidth="1"/>
    <col min="3" max="4" width="10.83203125" style="110"/>
    <col min="5" max="5" width="17" style="111" customWidth="1"/>
    <col min="6" max="6" width="21.33203125" style="110" customWidth="1"/>
    <col min="7" max="7" width="22.5" style="110" customWidth="1"/>
    <col min="8" max="8" width="19" style="110" customWidth="1"/>
  </cols>
  <sheetData>
    <row r="1" spans="1:8" x14ac:dyDescent="0.2">
      <c r="A1" s="93" t="s">
        <v>92</v>
      </c>
      <c r="B1" s="94" t="s">
        <v>93</v>
      </c>
      <c r="C1" s="95" t="s">
        <v>94</v>
      </c>
      <c r="D1" s="95" t="s">
        <v>95</v>
      </c>
      <c r="E1" s="96" t="s">
        <v>96</v>
      </c>
      <c r="F1" s="96" t="s">
        <v>97</v>
      </c>
      <c r="G1" s="96" t="s">
        <v>98</v>
      </c>
      <c r="H1" s="97" t="s">
        <v>99</v>
      </c>
    </row>
    <row r="2" spans="1:8" ht="47" customHeight="1" x14ac:dyDescent="0.2">
      <c r="A2" s="98" t="s">
        <v>71</v>
      </c>
      <c r="B2" s="99" t="s">
        <v>71</v>
      </c>
      <c r="C2" s="99">
        <v>1020</v>
      </c>
      <c r="D2" s="98" t="s">
        <v>76</v>
      </c>
      <c r="E2" s="98" t="s">
        <v>100</v>
      </c>
      <c r="F2" s="98" t="s">
        <v>101</v>
      </c>
      <c r="G2" s="98" t="s">
        <v>102</v>
      </c>
      <c r="H2" s="100" t="s">
        <v>103</v>
      </c>
    </row>
    <row r="3" spans="1:8" ht="47" customHeight="1" x14ac:dyDescent="0.2">
      <c r="A3" s="101" t="s">
        <v>104</v>
      </c>
      <c r="B3" s="101" t="s">
        <v>105</v>
      </c>
      <c r="C3" s="102">
        <v>3124</v>
      </c>
      <c r="D3" s="102" t="s">
        <v>78</v>
      </c>
      <c r="E3" s="98" t="s">
        <v>106</v>
      </c>
      <c r="F3" s="103" t="s">
        <v>107</v>
      </c>
      <c r="G3" s="103" t="s">
        <v>107</v>
      </c>
      <c r="H3" s="104" t="s">
        <v>108</v>
      </c>
    </row>
    <row r="4" spans="1:8" ht="47" customHeight="1" x14ac:dyDescent="0.2">
      <c r="A4" s="98" t="s">
        <v>104</v>
      </c>
      <c r="B4" s="98" t="s">
        <v>105</v>
      </c>
      <c r="C4" s="99">
        <v>3124</v>
      </c>
      <c r="D4" s="99" t="s">
        <v>78</v>
      </c>
      <c r="E4" s="98" t="s">
        <v>106</v>
      </c>
      <c r="F4" s="103" t="s">
        <v>107</v>
      </c>
      <c r="G4" s="103" t="s">
        <v>107</v>
      </c>
      <c r="H4" s="98" t="s">
        <v>108</v>
      </c>
    </row>
    <row r="5" spans="1:8" ht="47" customHeight="1" x14ac:dyDescent="0.2">
      <c r="A5" s="98" t="s">
        <v>104</v>
      </c>
      <c r="B5" s="98" t="s">
        <v>109</v>
      </c>
      <c r="C5" s="99">
        <v>3054</v>
      </c>
      <c r="D5" s="99" t="s">
        <v>77</v>
      </c>
      <c r="E5" s="98" t="s">
        <v>106</v>
      </c>
      <c r="F5" s="103" t="s">
        <v>107</v>
      </c>
      <c r="G5" s="103" t="s">
        <v>107</v>
      </c>
      <c r="H5" s="100" t="s">
        <v>110</v>
      </c>
    </row>
    <row r="6" spans="1:8" ht="47" customHeight="1" x14ac:dyDescent="0.2">
      <c r="A6" s="98" t="s">
        <v>104</v>
      </c>
      <c r="B6" s="98" t="s">
        <v>109</v>
      </c>
      <c r="C6" s="99">
        <v>3054</v>
      </c>
      <c r="D6" s="99" t="s">
        <v>77</v>
      </c>
      <c r="E6" s="98" t="s">
        <v>106</v>
      </c>
      <c r="F6" s="98" t="s">
        <v>111</v>
      </c>
      <c r="G6" s="98" t="s">
        <v>111</v>
      </c>
      <c r="H6" s="101" t="s">
        <v>112</v>
      </c>
    </row>
    <row r="7" spans="1:8" ht="47" customHeight="1" x14ac:dyDescent="0.2">
      <c r="A7" s="98" t="s">
        <v>113</v>
      </c>
      <c r="B7" s="98" t="s">
        <v>81</v>
      </c>
      <c r="C7" s="99">
        <v>4064</v>
      </c>
      <c r="D7" s="99" t="s">
        <v>80</v>
      </c>
      <c r="E7" s="98" t="s">
        <v>114</v>
      </c>
      <c r="F7" s="98" t="s">
        <v>115</v>
      </c>
      <c r="G7" s="98" t="s">
        <v>115</v>
      </c>
      <c r="H7" s="100" t="s">
        <v>103</v>
      </c>
    </row>
    <row r="8" spans="1:8" ht="47" customHeight="1" x14ac:dyDescent="0.2">
      <c r="A8" s="98" t="s">
        <v>113</v>
      </c>
      <c r="B8" s="98" t="s">
        <v>81</v>
      </c>
      <c r="C8" s="99">
        <v>4064</v>
      </c>
      <c r="D8" s="99" t="s">
        <v>80</v>
      </c>
      <c r="E8" s="98" t="s">
        <v>114</v>
      </c>
      <c r="F8" s="98" t="s">
        <v>115</v>
      </c>
      <c r="G8" s="98" t="s">
        <v>115</v>
      </c>
      <c r="H8" s="100" t="s">
        <v>103</v>
      </c>
    </row>
    <row r="9" spans="1:8" ht="47" customHeight="1" x14ac:dyDescent="0.2">
      <c r="A9" s="98" t="s">
        <v>113</v>
      </c>
      <c r="B9" s="98" t="s">
        <v>81</v>
      </c>
      <c r="C9" s="99">
        <v>4064</v>
      </c>
      <c r="D9" s="99" t="s">
        <v>80</v>
      </c>
      <c r="E9" s="98" t="s">
        <v>114</v>
      </c>
      <c r="F9" s="98" t="s">
        <v>115</v>
      </c>
      <c r="G9" s="98" t="s">
        <v>115</v>
      </c>
      <c r="H9" s="104" t="s">
        <v>103</v>
      </c>
    </row>
    <row r="10" spans="1:8" ht="47" customHeight="1" x14ac:dyDescent="0.2">
      <c r="A10" s="105" t="s">
        <v>113</v>
      </c>
      <c r="B10" s="106" t="s">
        <v>79</v>
      </c>
      <c r="C10" s="107" t="s">
        <v>116</v>
      </c>
      <c r="D10" s="107" t="s">
        <v>80</v>
      </c>
      <c r="E10" s="106" t="s">
        <v>114</v>
      </c>
      <c r="F10" s="106" t="s">
        <v>117</v>
      </c>
      <c r="G10" s="106" t="s">
        <v>117</v>
      </c>
      <c r="H10" s="108" t="s">
        <v>103</v>
      </c>
    </row>
    <row r="11" spans="1:8" ht="47" customHeight="1" x14ac:dyDescent="0.2">
      <c r="A11" s="105" t="s">
        <v>113</v>
      </c>
      <c r="B11" s="106" t="s">
        <v>79</v>
      </c>
      <c r="C11" s="107" t="s">
        <v>116</v>
      </c>
      <c r="D11" s="107" t="s">
        <v>80</v>
      </c>
      <c r="E11" s="106" t="s">
        <v>106</v>
      </c>
      <c r="F11" s="106" t="s">
        <v>118</v>
      </c>
      <c r="G11" s="106" t="s">
        <v>118</v>
      </c>
      <c r="H11" s="108" t="s">
        <v>119</v>
      </c>
    </row>
    <row r="12" spans="1:8" ht="47" customHeight="1" x14ac:dyDescent="0.2">
      <c r="A12" s="105" t="s">
        <v>113</v>
      </c>
      <c r="B12" s="106" t="s">
        <v>79</v>
      </c>
      <c r="C12" s="107" t="s">
        <v>116</v>
      </c>
      <c r="D12" s="107" t="s">
        <v>80</v>
      </c>
      <c r="E12" s="106" t="s">
        <v>106</v>
      </c>
      <c r="F12" s="106" t="s">
        <v>120</v>
      </c>
      <c r="G12" s="106" t="s">
        <v>120</v>
      </c>
      <c r="H12" s="108" t="s">
        <v>121</v>
      </c>
    </row>
    <row r="13" spans="1:8" ht="47" customHeight="1" x14ac:dyDescent="0.2">
      <c r="A13" s="105" t="s">
        <v>113</v>
      </c>
      <c r="B13" s="106" t="s">
        <v>79</v>
      </c>
      <c r="C13" s="107" t="s">
        <v>116</v>
      </c>
      <c r="D13" s="107" t="s">
        <v>80</v>
      </c>
      <c r="E13" s="106" t="s">
        <v>106</v>
      </c>
      <c r="F13" s="106" t="s">
        <v>122</v>
      </c>
      <c r="G13" s="106" t="s">
        <v>122</v>
      </c>
      <c r="H13" s="108" t="s">
        <v>123</v>
      </c>
    </row>
    <row r="14" spans="1:8" ht="47" customHeight="1" x14ac:dyDescent="0.2">
      <c r="A14" s="105" t="s">
        <v>113</v>
      </c>
      <c r="B14" s="106" t="s">
        <v>79</v>
      </c>
      <c r="C14" s="107" t="s">
        <v>116</v>
      </c>
      <c r="D14" s="107" t="s">
        <v>80</v>
      </c>
      <c r="E14" s="106" t="s">
        <v>106</v>
      </c>
      <c r="F14" s="109" t="s">
        <v>124</v>
      </c>
      <c r="G14" s="106" t="s">
        <v>125</v>
      </c>
      <c r="H14" s="108" t="s">
        <v>126</v>
      </c>
    </row>
    <row r="15" spans="1:8" ht="47" customHeight="1" x14ac:dyDescent="0.2"/>
  </sheetData>
  <sheetProtection algorithmName="SHA-512" hashValue="hdnASE4xEVSnzrIpYxQb6NOI7hnVOxIkIqt6qXu8W1JM4+Fb6955zdp13/erD19Squ+q9lwlETHd89UWEBAZjQ==" saltValue="NyuuIFVojsBB/AVue1eK4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Cargos_Crear</vt:lpstr>
      <vt:lpstr>Cargos_Suprimir</vt:lpstr>
      <vt:lpstr>Resumen</vt:lpstr>
      <vt:lpstr>Ubicación Funcional Cargos Sup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MORENO</dc:creator>
  <cp:lastModifiedBy>Laura Evelyn Arroyo Espana</cp:lastModifiedBy>
  <dcterms:created xsi:type="dcterms:W3CDTF">2021-04-30T16:31:43Z</dcterms:created>
  <dcterms:modified xsi:type="dcterms:W3CDTF">2021-09-28T21:49:57Z</dcterms:modified>
</cp:coreProperties>
</file>