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https://danegovco-my.sharepoint.com/personal/learroyoe_dane_gov_co/Documents/Coordinación GTH/Rediseño Organizacional/Documentos Finales/Documentos para publicar 28 sept/"/>
    </mc:Choice>
  </mc:AlternateContent>
  <xr:revisionPtr revIDLastSave="4" documentId="13_ncr:1_{92D30A3F-FDA3-484F-8400-6790C189C0DD}" xr6:coauthVersionLast="47" xr6:coauthVersionMax="47" xr10:uidLastSave="{EEBD9AB4-42E6-E64C-B424-78D002FF48AE}"/>
  <workbookProtection workbookAlgorithmName="SHA-512" workbookHashValue="OO304ib5IropD/BeujU0htAq8B92XnohsittYf03cwkgXFz76BLCJQJ+EieTzFbtJHF7RX4KYG6BcaRXT3DM3A==" workbookSaltValue="XFWi3YBi3608tUfwwWt8nQ==" workbookSpinCount="100000" lockStructure="1"/>
  <bookViews>
    <workbookView xWindow="0" yWindow="500" windowWidth="28800" windowHeight="18000" activeTab="2" xr2:uid="{00000000-000D-0000-FFFF-FFFF00000000}"/>
  </bookViews>
  <sheets>
    <sheet name="Vigencia_2020" sheetId="1" r:id="rId1"/>
    <sheet name="Vigencia_2021" sheetId="2" r:id="rId2"/>
    <sheet name="Vigencia_202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7" i="2" l="1"/>
  <c r="H106" i="2"/>
  <c r="H105" i="2"/>
  <c r="H104" i="2"/>
  <c r="H103" i="2"/>
  <c r="H102" i="2"/>
  <c r="H101" i="2"/>
  <c r="H100" i="2"/>
  <c r="H99" i="2"/>
  <c r="H98" i="2"/>
  <c r="H97" i="2"/>
  <c r="H96" i="2"/>
  <c r="H95" i="2"/>
  <c r="H94" i="2"/>
  <c r="H93" i="2"/>
  <c r="H92" i="2"/>
  <c r="H91" i="2"/>
  <c r="H90" i="2"/>
  <c r="H89" i="2"/>
  <c r="H88" i="2"/>
  <c r="H87" i="2"/>
  <c r="H86" i="2"/>
  <c r="H85" i="2"/>
  <c r="H83" i="2"/>
  <c r="H82" i="2"/>
  <c r="H81" i="2"/>
  <c r="H80" i="2"/>
  <c r="H79" i="2"/>
  <c r="H78" i="2"/>
  <c r="H77" i="2"/>
  <c r="H76" i="2"/>
  <c r="H75" i="2"/>
  <c r="H74" i="2"/>
  <c r="H73" i="2"/>
  <c r="H72" i="2"/>
  <c r="H71" i="2"/>
  <c r="H70" i="2"/>
  <c r="H69" i="2"/>
  <c r="H68" i="2"/>
  <c r="H67" i="2"/>
  <c r="H66" i="2"/>
  <c r="H65" i="2"/>
  <c r="H64" i="2"/>
  <c r="H63" i="2"/>
  <c r="H62" i="2"/>
  <c r="H61" i="2"/>
  <c r="H60" i="2"/>
  <c r="H59" i="2"/>
  <c r="H57" i="2"/>
  <c r="H56" i="2"/>
  <c r="H55" i="2"/>
  <c r="H54" i="2"/>
  <c r="H53" i="2"/>
  <c r="H58" i="2"/>
  <c r="I118" i="2" l="1"/>
  <c r="G28" i="1" l="1"/>
  <c r="G27" i="1"/>
  <c r="G26" i="1"/>
  <c r="G25" i="1"/>
  <c r="G23" i="1"/>
  <c r="G22" i="1"/>
  <c r="G21" i="1"/>
  <c r="G20" i="1"/>
  <c r="G19" i="1"/>
  <c r="G18" i="1"/>
  <c r="G17" i="1" l="1"/>
  <c r="L107" i="1"/>
  <c r="L106" i="1"/>
  <c r="L105" i="1"/>
  <c r="G16" i="1"/>
  <c r="I17" i="2" l="1"/>
  <c r="I16" i="2"/>
  <c r="I21" i="2" l="1"/>
  <c r="G21" i="2"/>
  <c r="I20" i="2"/>
  <c r="G20" i="2"/>
  <c r="I19" i="2"/>
  <c r="G19" i="2"/>
  <c r="I23" i="2"/>
  <c r="G23" i="2"/>
  <c r="I22" i="2"/>
  <c r="G22" i="2"/>
  <c r="I18" i="2"/>
  <c r="G18" i="2"/>
  <c r="D55" i="3"/>
  <c r="D59" i="3"/>
  <c r="D63" i="3"/>
  <c r="D67" i="3"/>
  <c r="D71" i="3"/>
  <c r="AM71" i="3" s="1"/>
  <c r="D75" i="3"/>
  <c r="D79" i="3"/>
  <c r="D83" i="3"/>
  <c r="AS83" i="3" s="1"/>
  <c r="D25" i="3"/>
  <c r="G25" i="3" s="1"/>
  <c r="D17" i="3"/>
  <c r="D19" i="3"/>
  <c r="AO19" i="3" s="1"/>
  <c r="D20" i="3"/>
  <c r="G20" i="3" s="1"/>
  <c r="D21" i="3"/>
  <c r="G21" i="3" s="1"/>
  <c r="D22" i="3"/>
  <c r="D23" i="3"/>
  <c r="I107" i="2"/>
  <c r="I86" i="2"/>
  <c r="I87" i="2"/>
  <c r="I90" i="2"/>
  <c r="I91" i="2"/>
  <c r="I94" i="2"/>
  <c r="I95" i="2"/>
  <c r="I98" i="2"/>
  <c r="I99" i="2"/>
  <c r="I102" i="2"/>
  <c r="I103" i="2"/>
  <c r="I106" i="2"/>
  <c r="I85" i="2"/>
  <c r="I31" i="2"/>
  <c r="I32" i="2"/>
  <c r="I35" i="2"/>
  <c r="I36" i="2"/>
  <c r="I39" i="2"/>
  <c r="I40" i="2"/>
  <c r="I43" i="2"/>
  <c r="I44" i="2"/>
  <c r="I47" i="2"/>
  <c r="I48" i="2"/>
  <c r="I51" i="2"/>
  <c r="D53" i="3"/>
  <c r="I55" i="2"/>
  <c r="I56" i="2"/>
  <c r="D57" i="3"/>
  <c r="I59" i="2"/>
  <c r="I60" i="2"/>
  <c r="D61" i="3"/>
  <c r="I63" i="2"/>
  <c r="I64" i="2"/>
  <c r="I65" i="2"/>
  <c r="I67" i="2"/>
  <c r="I68" i="2"/>
  <c r="D69" i="3"/>
  <c r="I71" i="2"/>
  <c r="I72" i="2"/>
  <c r="D73" i="3"/>
  <c r="I75" i="2"/>
  <c r="I76" i="2"/>
  <c r="D77" i="3"/>
  <c r="E77" i="3" s="1"/>
  <c r="I79" i="2"/>
  <c r="I80" i="2"/>
  <c r="D81" i="3"/>
  <c r="I83" i="2"/>
  <c r="I30" i="2"/>
  <c r="D26" i="3"/>
  <c r="G26" i="3" s="1"/>
  <c r="D27" i="3"/>
  <c r="AO18" i="2"/>
  <c r="AO20" i="2"/>
  <c r="AM17" i="3"/>
  <c r="AS111" i="3"/>
  <c r="AR111" i="3"/>
  <c r="AP111" i="3"/>
  <c r="AO111" i="3"/>
  <c r="AN111" i="3"/>
  <c r="AM111" i="3"/>
  <c r="AL111" i="3"/>
  <c r="AK111" i="3"/>
  <c r="AJ111" i="3"/>
  <c r="AI111" i="3"/>
  <c r="AH111" i="3"/>
  <c r="AG111" i="3"/>
  <c r="AD111" i="3"/>
  <c r="AC111" i="3"/>
  <c r="AB111" i="3"/>
  <c r="AA111" i="3"/>
  <c r="Y111" i="3"/>
  <c r="X111" i="3"/>
  <c r="W111" i="3"/>
  <c r="T111" i="3"/>
  <c r="S111" i="3"/>
  <c r="R111" i="3"/>
  <c r="Q111" i="3"/>
  <c r="O111" i="3"/>
  <c r="N111" i="3"/>
  <c r="M111" i="3"/>
  <c r="L111" i="3"/>
  <c r="K111" i="3"/>
  <c r="J111" i="3"/>
  <c r="I111" i="3"/>
  <c r="H111" i="3"/>
  <c r="G111" i="3"/>
  <c r="F111" i="3"/>
  <c r="E111" i="3"/>
  <c r="D111" i="3"/>
  <c r="C111" i="3"/>
  <c r="AT110" i="3"/>
  <c r="AT111" i="3" s="1"/>
  <c r="AQ110" i="3"/>
  <c r="AQ111" i="3" s="1"/>
  <c r="AE110" i="3"/>
  <c r="AE111" i="3" s="1"/>
  <c r="Z110" i="3"/>
  <c r="Z111" i="3" s="1"/>
  <c r="U110" i="3"/>
  <c r="U111" i="3" s="1"/>
  <c r="P110" i="3"/>
  <c r="P111" i="3" s="1"/>
  <c r="AE107" i="3"/>
  <c r="U107" i="3"/>
  <c r="AE106" i="3"/>
  <c r="U106" i="3"/>
  <c r="AE105" i="3"/>
  <c r="U105" i="3"/>
  <c r="AE104" i="3"/>
  <c r="U104" i="3"/>
  <c r="AE103" i="3"/>
  <c r="U103" i="3"/>
  <c r="AE102" i="3"/>
  <c r="U102" i="3"/>
  <c r="AE101" i="3"/>
  <c r="U101" i="3"/>
  <c r="AE100" i="3"/>
  <c r="U100" i="3"/>
  <c r="AE99" i="3"/>
  <c r="U99" i="3"/>
  <c r="AE98" i="3"/>
  <c r="U98" i="3"/>
  <c r="AE97" i="3"/>
  <c r="U97" i="3"/>
  <c r="AE96" i="3"/>
  <c r="U96" i="3"/>
  <c r="AE95" i="3"/>
  <c r="U95" i="3"/>
  <c r="AE94" i="3"/>
  <c r="U94" i="3"/>
  <c r="AE93" i="3"/>
  <c r="U93" i="3"/>
  <c r="AE92" i="3"/>
  <c r="U92" i="3"/>
  <c r="AE91" i="3"/>
  <c r="U91" i="3"/>
  <c r="AE90" i="3"/>
  <c r="U90" i="3"/>
  <c r="AE89" i="3"/>
  <c r="U89" i="3"/>
  <c r="AE88" i="3"/>
  <c r="U88" i="3"/>
  <c r="AE87" i="3"/>
  <c r="U87" i="3"/>
  <c r="AE86" i="3"/>
  <c r="U86" i="3"/>
  <c r="AE85" i="3"/>
  <c r="U85" i="3"/>
  <c r="AP84" i="3"/>
  <c r="AD84" i="3"/>
  <c r="AC84" i="3"/>
  <c r="AB84" i="3"/>
  <c r="AA84" i="3"/>
  <c r="X84" i="3"/>
  <c r="T84" i="3"/>
  <c r="S84" i="3"/>
  <c r="R84" i="3"/>
  <c r="Q84" i="3"/>
  <c r="O84" i="3"/>
  <c r="F84" i="3"/>
  <c r="C84" i="3"/>
  <c r="AL83" i="3"/>
  <c r="AE83" i="3"/>
  <c r="U83" i="3"/>
  <c r="AE82" i="3"/>
  <c r="U82" i="3"/>
  <c r="AE81" i="3"/>
  <c r="U81" i="3"/>
  <c r="AE80" i="3"/>
  <c r="U80" i="3"/>
  <c r="AK79" i="3"/>
  <c r="AE79" i="3"/>
  <c r="U79" i="3"/>
  <c r="AE78" i="3"/>
  <c r="U78" i="3"/>
  <c r="AO77" i="3"/>
  <c r="AE77" i="3"/>
  <c r="U77" i="3"/>
  <c r="AE76" i="3"/>
  <c r="U76" i="3"/>
  <c r="AR75" i="3"/>
  <c r="AO75" i="3"/>
  <c r="AM75" i="3"/>
  <c r="AK75" i="3"/>
  <c r="AE75" i="3"/>
  <c r="Y75" i="3"/>
  <c r="U75" i="3"/>
  <c r="E75" i="3"/>
  <c r="AS75" i="3"/>
  <c r="AE74" i="3"/>
  <c r="U74" i="3"/>
  <c r="AE73" i="3"/>
  <c r="U73" i="3"/>
  <c r="AE72" i="3"/>
  <c r="U72" i="3"/>
  <c r="AE71" i="3"/>
  <c r="U71" i="3"/>
  <c r="AE70" i="3"/>
  <c r="U70" i="3"/>
  <c r="AE69" i="3"/>
  <c r="U69" i="3"/>
  <c r="AE68" i="3"/>
  <c r="U68" i="3"/>
  <c r="AE67" i="3"/>
  <c r="U67" i="3"/>
  <c r="AE66" i="3"/>
  <c r="U66" i="3"/>
  <c r="AE65" i="3"/>
  <c r="U65" i="3"/>
  <c r="AE64" i="3"/>
  <c r="U64" i="3"/>
  <c r="AK63" i="3"/>
  <c r="AE63" i="3"/>
  <c r="U63" i="3"/>
  <c r="E63" i="3"/>
  <c r="AE62" i="3"/>
  <c r="U62" i="3"/>
  <c r="AE61" i="3"/>
  <c r="U61" i="3"/>
  <c r="AE60" i="3"/>
  <c r="U60" i="3"/>
  <c r="AL59" i="3"/>
  <c r="AE59" i="3"/>
  <c r="U59" i="3"/>
  <c r="L59" i="3"/>
  <c r="AE58" i="3"/>
  <c r="U58" i="3"/>
  <c r="AM57" i="3"/>
  <c r="AE57" i="3"/>
  <c r="U57" i="3"/>
  <c r="AO57" i="3"/>
  <c r="AE56" i="3"/>
  <c r="U56" i="3"/>
  <c r="AE55" i="3"/>
  <c r="U55" i="3"/>
  <c r="AE54" i="3"/>
  <c r="U54" i="3"/>
  <c r="AR53" i="3"/>
  <c r="AM53" i="3"/>
  <c r="AL53" i="3"/>
  <c r="AE53" i="3"/>
  <c r="U53" i="3"/>
  <c r="K53" i="3"/>
  <c r="AO53" i="3"/>
  <c r="AP52" i="3"/>
  <c r="AD52" i="3"/>
  <c r="AC52" i="3"/>
  <c r="AB52" i="3"/>
  <c r="AA52" i="3"/>
  <c r="X52" i="3"/>
  <c r="T52" i="3"/>
  <c r="S52" i="3"/>
  <c r="R52" i="3"/>
  <c r="Q52" i="3"/>
  <c r="O52" i="3"/>
  <c r="F52" i="3"/>
  <c r="C52" i="3"/>
  <c r="AE51" i="3"/>
  <c r="U51" i="3"/>
  <c r="AE50" i="3"/>
  <c r="U50" i="3"/>
  <c r="AE49" i="3"/>
  <c r="U49" i="3"/>
  <c r="AE48" i="3"/>
  <c r="U48" i="3"/>
  <c r="AE47" i="3"/>
  <c r="U47" i="3"/>
  <c r="AE46" i="3"/>
  <c r="U46" i="3"/>
  <c r="AE45" i="3"/>
  <c r="U45" i="3"/>
  <c r="AE44" i="3"/>
  <c r="U44" i="3"/>
  <c r="AE43" i="3"/>
  <c r="U43" i="3"/>
  <c r="AE42" i="3"/>
  <c r="U42" i="3"/>
  <c r="AE41" i="3"/>
  <c r="U41" i="3"/>
  <c r="AE40" i="3"/>
  <c r="U40" i="3"/>
  <c r="AE39" i="3"/>
  <c r="U39" i="3"/>
  <c r="AE38" i="3"/>
  <c r="U38" i="3"/>
  <c r="AE37" i="3"/>
  <c r="U37" i="3"/>
  <c r="AE36" i="3"/>
  <c r="U36" i="3"/>
  <c r="AE35" i="3"/>
  <c r="U35" i="3"/>
  <c r="AE34" i="3"/>
  <c r="U34" i="3"/>
  <c r="AE33" i="3"/>
  <c r="U33" i="3"/>
  <c r="AE32" i="3"/>
  <c r="U32" i="3"/>
  <c r="AE31" i="3"/>
  <c r="U31" i="3"/>
  <c r="AE30" i="3"/>
  <c r="U30" i="3"/>
  <c r="AP29" i="3"/>
  <c r="AD29" i="3"/>
  <c r="AC29" i="3"/>
  <c r="AB29" i="3"/>
  <c r="AA29" i="3"/>
  <c r="X29" i="3"/>
  <c r="T29" i="3"/>
  <c r="S29" i="3"/>
  <c r="R29" i="3"/>
  <c r="Q29" i="3"/>
  <c r="O29" i="3"/>
  <c r="L29" i="3"/>
  <c r="F29" i="3"/>
  <c r="C29" i="3"/>
  <c r="AF28" i="3"/>
  <c r="AE28" i="3"/>
  <c r="U28" i="3"/>
  <c r="AF27" i="3"/>
  <c r="AE27" i="3"/>
  <c r="U27" i="3"/>
  <c r="AE26" i="3"/>
  <c r="U26" i="3"/>
  <c r="AE25" i="3"/>
  <c r="U25" i="3"/>
  <c r="AP24" i="3"/>
  <c r="AD24" i="3"/>
  <c r="AC24" i="3"/>
  <c r="AB24" i="3"/>
  <c r="AA24" i="3"/>
  <c r="X24" i="3"/>
  <c r="T24" i="3"/>
  <c r="S24" i="3"/>
  <c r="R24" i="3"/>
  <c r="Q24" i="3"/>
  <c r="O24" i="3"/>
  <c r="L24" i="3"/>
  <c r="F24" i="3"/>
  <c r="C24" i="3"/>
  <c r="AO23" i="3"/>
  <c r="AE23" i="3"/>
  <c r="U23" i="3"/>
  <c r="AE22" i="3"/>
  <c r="U22" i="3"/>
  <c r="AS22" i="3"/>
  <c r="AM21" i="3"/>
  <c r="AE21" i="3"/>
  <c r="U21" i="3"/>
  <c r="AE20" i="3"/>
  <c r="U20" i="3"/>
  <c r="AE19" i="3"/>
  <c r="U19" i="3"/>
  <c r="E19" i="3"/>
  <c r="AE18" i="3"/>
  <c r="U18" i="3"/>
  <c r="AR17" i="3"/>
  <c r="AE17" i="3"/>
  <c r="U17" i="3"/>
  <c r="F17" i="3"/>
  <c r="AE16" i="3"/>
  <c r="U16" i="3"/>
  <c r="F16" i="3"/>
  <c r="F15" i="3" s="1"/>
  <c r="AP15" i="3"/>
  <c r="AD15" i="3"/>
  <c r="AC15" i="3"/>
  <c r="AB15" i="3"/>
  <c r="AA15" i="3"/>
  <c r="X15" i="3"/>
  <c r="T15" i="3"/>
  <c r="S15" i="3"/>
  <c r="R15" i="3"/>
  <c r="Q15" i="3"/>
  <c r="O15" i="3"/>
  <c r="L15" i="3"/>
  <c r="C15" i="3"/>
  <c r="AN89" i="2"/>
  <c r="AS105" i="2"/>
  <c r="AN107" i="2"/>
  <c r="AR85" i="2"/>
  <c r="AN65" i="2"/>
  <c r="AN69" i="2"/>
  <c r="AS81" i="2"/>
  <c r="AS42" i="2"/>
  <c r="AS111" i="2"/>
  <c r="AR111" i="2"/>
  <c r="AP111" i="2"/>
  <c r="AO111" i="2"/>
  <c r="AN111" i="2"/>
  <c r="AM111" i="2"/>
  <c r="AL111" i="2"/>
  <c r="AK111" i="2"/>
  <c r="AJ111" i="2"/>
  <c r="AI111" i="2"/>
  <c r="AH111" i="2"/>
  <c r="AG111" i="2"/>
  <c r="AD111" i="2"/>
  <c r="AC111" i="2"/>
  <c r="AB111" i="2"/>
  <c r="AA111" i="2"/>
  <c r="Y111" i="2"/>
  <c r="X111" i="2"/>
  <c r="W111" i="2"/>
  <c r="T111" i="2"/>
  <c r="S111" i="2"/>
  <c r="R111" i="2"/>
  <c r="Q111" i="2"/>
  <c r="O111" i="2"/>
  <c r="N111" i="2"/>
  <c r="M111" i="2"/>
  <c r="L111" i="2"/>
  <c r="K111" i="2"/>
  <c r="J111" i="2"/>
  <c r="I111" i="2"/>
  <c r="H111" i="2"/>
  <c r="G111" i="2"/>
  <c r="F111" i="2"/>
  <c r="E111" i="2"/>
  <c r="D111" i="2"/>
  <c r="C111" i="2"/>
  <c r="AT110" i="2"/>
  <c r="AT111" i="2" s="1"/>
  <c r="AQ110" i="2"/>
  <c r="AQ111" i="2" s="1"/>
  <c r="AE110" i="2"/>
  <c r="AE111" i="2" s="1"/>
  <c r="Z110" i="2"/>
  <c r="Z111" i="2" s="1"/>
  <c r="U110" i="2"/>
  <c r="U111" i="2" s="1"/>
  <c r="P110" i="2"/>
  <c r="P111" i="2" s="1"/>
  <c r="AS107" i="2"/>
  <c r="AO107" i="2"/>
  <c r="AM107" i="2"/>
  <c r="AK107" i="2"/>
  <c r="AJ107" i="2"/>
  <c r="AE107" i="2"/>
  <c r="Y107" i="2"/>
  <c r="U107" i="2"/>
  <c r="AG107" i="2"/>
  <c r="E107" i="2"/>
  <c r="AS106" i="2"/>
  <c r="AR106" i="2"/>
  <c r="AO106" i="2"/>
  <c r="AN106" i="2"/>
  <c r="AM106" i="2"/>
  <c r="AL106" i="2"/>
  <c r="AK106" i="2"/>
  <c r="AJ106" i="2"/>
  <c r="AE106" i="2"/>
  <c r="Y106" i="2"/>
  <c r="U106" i="2"/>
  <c r="AG106" i="2"/>
  <c r="K106" i="2"/>
  <c r="E106" i="2"/>
  <c r="AJ105" i="2"/>
  <c r="AE105" i="2"/>
  <c r="U105" i="2"/>
  <c r="AO104" i="2"/>
  <c r="AN104" i="2"/>
  <c r="AK104" i="2"/>
  <c r="AJ104" i="2"/>
  <c r="AE104" i="2"/>
  <c r="Y104" i="2"/>
  <c r="U104" i="2"/>
  <c r="K104" i="2"/>
  <c r="AS103" i="2"/>
  <c r="AR103" i="2"/>
  <c r="AO103" i="2"/>
  <c r="AN103" i="2"/>
  <c r="AM103" i="2"/>
  <c r="AL103" i="2"/>
  <c r="AK103" i="2"/>
  <c r="AJ103" i="2"/>
  <c r="AE103" i="2"/>
  <c r="Y103" i="2"/>
  <c r="U103" i="2"/>
  <c r="L103" i="2"/>
  <c r="AG103" i="2"/>
  <c r="K103" i="2"/>
  <c r="E103" i="2"/>
  <c r="AI103" i="2" s="1"/>
  <c r="AS102" i="2"/>
  <c r="AR102" i="2"/>
  <c r="AO102" i="2"/>
  <c r="AN102" i="2"/>
  <c r="AM102" i="2"/>
  <c r="AL102" i="2"/>
  <c r="AK102" i="2"/>
  <c r="AJ102" i="2"/>
  <c r="AE102" i="2"/>
  <c r="Y102" i="2"/>
  <c r="U102" i="2"/>
  <c r="L102" i="2"/>
  <c r="AG102" i="2"/>
  <c r="K102" i="2"/>
  <c r="E102" i="2"/>
  <c r="AI102" i="2" s="1"/>
  <c r="AK101" i="2"/>
  <c r="AE101" i="2"/>
  <c r="U101" i="2"/>
  <c r="AO100" i="2"/>
  <c r="AN100" i="2"/>
  <c r="AK100" i="2"/>
  <c r="AJ100" i="2"/>
  <c r="AE100" i="2"/>
  <c r="Y100" i="2"/>
  <c r="U100" i="2"/>
  <c r="K100" i="2"/>
  <c r="AS99" i="2"/>
  <c r="AR99" i="2"/>
  <c r="AO99" i="2"/>
  <c r="AN99" i="2"/>
  <c r="AM99" i="2"/>
  <c r="AL99" i="2"/>
  <c r="AK99" i="2"/>
  <c r="AJ99" i="2"/>
  <c r="AE99" i="2"/>
  <c r="Y99" i="2"/>
  <c r="U99" i="2"/>
  <c r="L99" i="2"/>
  <c r="AG99" i="2"/>
  <c r="K99" i="2"/>
  <c r="E99" i="2"/>
  <c r="AI99" i="2" s="1"/>
  <c r="AS98" i="2"/>
  <c r="AR98" i="2"/>
  <c r="AO98" i="2"/>
  <c r="AN98" i="2"/>
  <c r="AM98" i="2"/>
  <c r="AL98" i="2"/>
  <c r="AK98" i="2"/>
  <c r="AJ98" i="2"/>
  <c r="AE98" i="2"/>
  <c r="Y98" i="2"/>
  <c r="U98" i="2"/>
  <c r="L98" i="2"/>
  <c r="AG98" i="2"/>
  <c r="K98" i="2"/>
  <c r="E98" i="2"/>
  <c r="AI98" i="2" s="1"/>
  <c r="AK97" i="2"/>
  <c r="AE97" i="2"/>
  <c r="U97" i="2"/>
  <c r="AO96" i="2"/>
  <c r="AN96" i="2"/>
  <c r="AK96" i="2"/>
  <c r="AJ96" i="2"/>
  <c r="AE96" i="2"/>
  <c r="Y96" i="2"/>
  <c r="U96" i="2"/>
  <c r="K96" i="2"/>
  <c r="AS95" i="2"/>
  <c r="AR95" i="2"/>
  <c r="AO95" i="2"/>
  <c r="AN95" i="2"/>
  <c r="AM95" i="2"/>
  <c r="AL95" i="2"/>
  <c r="AK95" i="2"/>
  <c r="AJ95" i="2"/>
  <c r="AE95" i="2"/>
  <c r="Y95" i="2"/>
  <c r="U95" i="2"/>
  <c r="L95" i="2"/>
  <c r="AG95" i="2"/>
  <c r="K95" i="2"/>
  <c r="E95" i="2"/>
  <c r="AI95" i="2" s="1"/>
  <c r="AS94" i="2"/>
  <c r="AR94" i="2"/>
  <c r="AO94" i="2"/>
  <c r="AN94" i="2"/>
  <c r="AM94" i="2"/>
  <c r="AL94" i="2"/>
  <c r="AK94" i="2"/>
  <c r="AJ94" i="2"/>
  <c r="AE94" i="2"/>
  <c r="Y94" i="2"/>
  <c r="U94" i="2"/>
  <c r="L94" i="2"/>
  <c r="AG94" i="2"/>
  <c r="K94" i="2"/>
  <c r="E94" i="2"/>
  <c r="AI94" i="2" s="1"/>
  <c r="AK93" i="2"/>
  <c r="AE93" i="2"/>
  <c r="U93" i="2"/>
  <c r="AO92" i="2"/>
  <c r="AN92" i="2"/>
  <c r="AK92" i="2"/>
  <c r="AJ92" i="2"/>
  <c r="AE92" i="2"/>
  <c r="U92" i="2"/>
  <c r="L92" i="2"/>
  <c r="E92" i="2"/>
  <c r="AS91" i="2"/>
  <c r="AR91" i="2"/>
  <c r="AO91" i="2"/>
  <c r="AN91" i="2"/>
  <c r="AM91" i="2"/>
  <c r="AL91" i="2"/>
  <c r="AK91" i="2"/>
  <c r="AJ91" i="2"/>
  <c r="AE91" i="2"/>
  <c r="Y91" i="2"/>
  <c r="U91" i="2"/>
  <c r="L91" i="2"/>
  <c r="AG91" i="2"/>
  <c r="K91" i="2"/>
  <c r="E91" i="2"/>
  <c r="AS90" i="2"/>
  <c r="AR90" i="2"/>
  <c r="AO90" i="2"/>
  <c r="AN90" i="2"/>
  <c r="AM90" i="2"/>
  <c r="AL90" i="2"/>
  <c r="AK90" i="2"/>
  <c r="AJ90" i="2"/>
  <c r="AE90" i="2"/>
  <c r="Y90" i="2"/>
  <c r="U90" i="2"/>
  <c r="L90" i="2"/>
  <c r="AG90" i="2"/>
  <c r="E90" i="2"/>
  <c r="AI90" i="2" s="1"/>
  <c r="AK89" i="2"/>
  <c r="AE89" i="2"/>
  <c r="U89" i="2"/>
  <c r="AS88" i="2"/>
  <c r="AN88" i="2"/>
  <c r="AM88" i="2"/>
  <c r="AJ88" i="2"/>
  <c r="AE88" i="2"/>
  <c r="U88" i="2"/>
  <c r="L88" i="2"/>
  <c r="E88" i="2"/>
  <c r="W88" i="2" s="1"/>
  <c r="AS87" i="2"/>
  <c r="AR87" i="2"/>
  <c r="AO87" i="2"/>
  <c r="AN87" i="2"/>
  <c r="AM87" i="2"/>
  <c r="AL87" i="2"/>
  <c r="AK87" i="2"/>
  <c r="AJ87" i="2"/>
  <c r="AE87" i="2"/>
  <c r="Y87" i="2"/>
  <c r="U87" i="2"/>
  <c r="L87" i="2"/>
  <c r="AG87" i="2"/>
  <c r="K87" i="2"/>
  <c r="E87" i="2"/>
  <c r="AS86" i="2"/>
  <c r="AR86" i="2"/>
  <c r="AO86" i="2"/>
  <c r="AN86" i="2"/>
  <c r="AM86" i="2"/>
  <c r="AL86" i="2"/>
  <c r="AK86" i="2"/>
  <c r="AJ86" i="2"/>
  <c r="AE86" i="2"/>
  <c r="Y86" i="2"/>
  <c r="U86" i="2"/>
  <c r="L86" i="2"/>
  <c r="AG86" i="2"/>
  <c r="E86" i="2"/>
  <c r="AI86" i="2" s="1"/>
  <c r="AS85" i="2"/>
  <c r="AO85" i="2"/>
  <c r="AM85" i="2"/>
  <c r="AK85" i="2"/>
  <c r="AE85" i="2"/>
  <c r="U85" i="2"/>
  <c r="U84" i="2" s="1"/>
  <c r="K85" i="2"/>
  <c r="AP84" i="2"/>
  <c r="AD84" i="2"/>
  <c r="AC84" i="2"/>
  <c r="AB84" i="2"/>
  <c r="AA84" i="2"/>
  <c r="X84" i="2"/>
  <c r="T84" i="2"/>
  <c r="S84" i="2"/>
  <c r="R84" i="2"/>
  <c r="Q84" i="2"/>
  <c r="O84" i="2"/>
  <c r="F84" i="2"/>
  <c r="C84" i="2"/>
  <c r="AS83" i="2"/>
  <c r="AR83" i="2"/>
  <c r="AT83" i="2" s="1"/>
  <c r="AO83" i="2"/>
  <c r="AN83" i="2"/>
  <c r="AM83" i="2"/>
  <c r="AL83" i="2"/>
  <c r="AK83" i="2"/>
  <c r="AJ83" i="2"/>
  <c r="AE83" i="2"/>
  <c r="Y83" i="2"/>
  <c r="U83" i="2"/>
  <c r="AG83" i="2"/>
  <c r="K83" i="2"/>
  <c r="E83" i="2"/>
  <c r="W83" i="2" s="1"/>
  <c r="AL82" i="2"/>
  <c r="AE82" i="2"/>
  <c r="U82" i="2"/>
  <c r="E82" i="2"/>
  <c r="W82" i="2" s="1"/>
  <c r="AE81" i="2"/>
  <c r="U81" i="2"/>
  <c r="AS80" i="2"/>
  <c r="AR80" i="2"/>
  <c r="AO80" i="2"/>
  <c r="AN80" i="2"/>
  <c r="AM80" i="2"/>
  <c r="AL80" i="2"/>
  <c r="AK80" i="2"/>
  <c r="AJ80" i="2"/>
  <c r="AE80" i="2"/>
  <c r="Y80" i="2"/>
  <c r="U80" i="2"/>
  <c r="AG80" i="2"/>
  <c r="K80" i="2"/>
  <c r="E80" i="2"/>
  <c r="W80" i="2" s="1"/>
  <c r="Z80" i="2" s="1"/>
  <c r="AF80" i="2" s="1"/>
  <c r="AS79" i="2"/>
  <c r="AR79" i="2"/>
  <c r="AO79" i="2"/>
  <c r="AN79" i="2"/>
  <c r="AM79" i="2"/>
  <c r="AL79" i="2"/>
  <c r="AK79" i="2"/>
  <c r="AJ79" i="2"/>
  <c r="AE79" i="2"/>
  <c r="Y79" i="2"/>
  <c r="U79" i="2"/>
  <c r="L79" i="2"/>
  <c r="AG79" i="2"/>
  <c r="K79" i="2"/>
  <c r="E79" i="2"/>
  <c r="AN78" i="2"/>
  <c r="AE78" i="2"/>
  <c r="U78" i="2"/>
  <c r="AO77" i="2"/>
  <c r="AK77" i="2"/>
  <c r="AE77" i="2"/>
  <c r="U77" i="2"/>
  <c r="K77" i="2"/>
  <c r="AS76" i="2"/>
  <c r="AR76" i="2"/>
  <c r="AO76" i="2"/>
  <c r="AN76" i="2"/>
  <c r="AM76" i="2"/>
  <c r="AL76" i="2"/>
  <c r="AK76" i="2"/>
  <c r="AJ76" i="2"/>
  <c r="AE76" i="2"/>
  <c r="Y76" i="2"/>
  <c r="U76" i="2"/>
  <c r="K76" i="2"/>
  <c r="E76" i="2"/>
  <c r="AS75" i="2"/>
  <c r="AR75" i="2"/>
  <c r="AT75" i="2" s="1"/>
  <c r="AO75" i="2"/>
  <c r="AN75" i="2"/>
  <c r="AM75" i="2"/>
  <c r="AL75" i="2"/>
  <c r="AK75" i="2"/>
  <c r="AJ75" i="2"/>
  <c r="AE75" i="2"/>
  <c r="Y75" i="2"/>
  <c r="U75" i="2"/>
  <c r="AG75" i="2"/>
  <c r="K75" i="2"/>
  <c r="E75" i="2"/>
  <c r="AS74" i="2"/>
  <c r="AM74" i="2"/>
  <c r="AE74" i="2"/>
  <c r="U74" i="2"/>
  <c r="AG74" i="2"/>
  <c r="AO73" i="2"/>
  <c r="AK73" i="2"/>
  <c r="AE73" i="2"/>
  <c r="U73" i="2"/>
  <c r="AS72" i="2"/>
  <c r="AR72" i="2"/>
  <c r="AO72" i="2"/>
  <c r="AN72" i="2"/>
  <c r="AM72" i="2"/>
  <c r="AL72" i="2"/>
  <c r="AK72" i="2"/>
  <c r="AJ72" i="2"/>
  <c r="AE72" i="2"/>
  <c r="Y72" i="2"/>
  <c r="U72" i="2"/>
  <c r="L72" i="2"/>
  <c r="AG72" i="2"/>
  <c r="K72" i="2"/>
  <c r="E72" i="2"/>
  <c r="AS71" i="2"/>
  <c r="AR71" i="2"/>
  <c r="AO71" i="2"/>
  <c r="AN71" i="2"/>
  <c r="AM71" i="2"/>
  <c r="AL71" i="2"/>
  <c r="AK71" i="2"/>
  <c r="AJ71" i="2"/>
  <c r="AE71" i="2"/>
  <c r="Y71" i="2"/>
  <c r="U71" i="2"/>
  <c r="L71" i="2"/>
  <c r="AG71" i="2"/>
  <c r="E71" i="2"/>
  <c r="W71" i="2" s="1"/>
  <c r="AO70" i="2"/>
  <c r="AK70" i="2"/>
  <c r="AE70" i="2"/>
  <c r="U70" i="2"/>
  <c r="K70" i="2"/>
  <c r="AK69" i="2"/>
  <c r="AE69" i="2"/>
  <c r="U69" i="2"/>
  <c r="AS68" i="2"/>
  <c r="AR68" i="2"/>
  <c r="AO68" i="2"/>
  <c r="AN68" i="2"/>
  <c r="AM68" i="2"/>
  <c r="AL68" i="2"/>
  <c r="AK68" i="2"/>
  <c r="AJ68" i="2"/>
  <c r="AE68" i="2"/>
  <c r="Y68" i="2"/>
  <c r="U68" i="2"/>
  <c r="K68" i="2"/>
  <c r="E68" i="2"/>
  <c r="W68" i="2" s="1"/>
  <c r="AS67" i="2"/>
  <c r="AR67" i="2"/>
  <c r="AO67" i="2"/>
  <c r="AN67" i="2"/>
  <c r="AM67" i="2"/>
  <c r="AL67" i="2"/>
  <c r="AK67" i="2"/>
  <c r="AJ67" i="2"/>
  <c r="AE67" i="2"/>
  <c r="Y67" i="2"/>
  <c r="U67" i="2"/>
  <c r="K67" i="2"/>
  <c r="AG67" i="2"/>
  <c r="E67" i="2"/>
  <c r="AR66" i="2"/>
  <c r="AL66" i="2"/>
  <c r="AE66" i="2"/>
  <c r="Y66" i="2"/>
  <c r="U66" i="2"/>
  <c r="AO65" i="2"/>
  <c r="AK65" i="2"/>
  <c r="AE65" i="2"/>
  <c r="U65" i="2"/>
  <c r="AS64" i="2"/>
  <c r="AR64" i="2"/>
  <c r="AO64" i="2"/>
  <c r="AN64" i="2"/>
  <c r="AM64" i="2"/>
  <c r="AL64" i="2"/>
  <c r="AK64" i="2"/>
  <c r="AJ64" i="2"/>
  <c r="AE64" i="2"/>
  <c r="Y64" i="2"/>
  <c r="U64" i="2"/>
  <c r="K64" i="2"/>
  <c r="E64" i="2"/>
  <c r="W64" i="2" s="1"/>
  <c r="AS63" i="2"/>
  <c r="AR63" i="2"/>
  <c r="AO63" i="2"/>
  <c r="AN63" i="2"/>
  <c r="AM63" i="2"/>
  <c r="AL63" i="2"/>
  <c r="AK63" i="2"/>
  <c r="AJ63" i="2"/>
  <c r="AE63" i="2"/>
  <c r="Y63" i="2"/>
  <c r="U63" i="2"/>
  <c r="AG63" i="2"/>
  <c r="K63" i="2"/>
  <c r="E63" i="2"/>
  <c r="W63" i="2" s="1"/>
  <c r="Z63" i="2" s="1"/>
  <c r="AS62" i="2"/>
  <c r="AM62" i="2"/>
  <c r="AE62" i="2"/>
  <c r="U62" i="2"/>
  <c r="AS61" i="2"/>
  <c r="AM61" i="2"/>
  <c r="AE61" i="2"/>
  <c r="U61" i="2"/>
  <c r="L61" i="2"/>
  <c r="E61" i="2"/>
  <c r="AS60" i="2"/>
  <c r="AR60" i="2"/>
  <c r="AO60" i="2"/>
  <c r="AN60" i="2"/>
  <c r="AM60" i="2"/>
  <c r="AL60" i="2"/>
  <c r="AK60" i="2"/>
  <c r="AJ60" i="2"/>
  <c r="AE60" i="2"/>
  <c r="Y60" i="2"/>
  <c r="U60" i="2"/>
  <c r="L60" i="2"/>
  <c r="AG60" i="2"/>
  <c r="E60" i="2"/>
  <c r="W60" i="2" s="1"/>
  <c r="AS59" i="2"/>
  <c r="AR59" i="2"/>
  <c r="AO59" i="2"/>
  <c r="AN59" i="2"/>
  <c r="AM59" i="2"/>
  <c r="AL59" i="2"/>
  <c r="AK59" i="2"/>
  <c r="AJ59" i="2"/>
  <c r="AE59" i="2"/>
  <c r="Y59" i="2"/>
  <c r="U59" i="2"/>
  <c r="L59" i="2"/>
  <c r="K59" i="2"/>
  <c r="E59" i="2"/>
  <c r="AO58" i="2"/>
  <c r="AK58" i="2"/>
  <c r="AE58" i="2"/>
  <c r="Y58" i="2"/>
  <c r="U58" i="2"/>
  <c r="AO57" i="2"/>
  <c r="AK57" i="2"/>
  <c r="AE57" i="2"/>
  <c r="U57" i="2"/>
  <c r="E57" i="2"/>
  <c r="W57" i="2" s="1"/>
  <c r="AS56" i="2"/>
  <c r="AR56" i="2"/>
  <c r="AO56" i="2"/>
  <c r="AN56" i="2"/>
  <c r="AM56" i="2"/>
  <c r="AL56" i="2"/>
  <c r="AK56" i="2"/>
  <c r="AJ56" i="2"/>
  <c r="AE56" i="2"/>
  <c r="Y56" i="2"/>
  <c r="U56" i="2"/>
  <c r="K56" i="2"/>
  <c r="E56" i="2"/>
  <c r="W56" i="2" s="1"/>
  <c r="Z56" i="2" s="1"/>
  <c r="AS55" i="2"/>
  <c r="AR55" i="2"/>
  <c r="AO55" i="2"/>
  <c r="AN55" i="2"/>
  <c r="AM55" i="2"/>
  <c r="AL55" i="2"/>
  <c r="AK55" i="2"/>
  <c r="AJ55" i="2"/>
  <c r="AE55" i="2"/>
  <c r="Y55" i="2"/>
  <c r="U55" i="2"/>
  <c r="K55" i="2"/>
  <c r="AG55" i="2"/>
  <c r="E55" i="2"/>
  <c r="W55" i="2" s="1"/>
  <c r="AN54" i="2"/>
  <c r="AJ54" i="2"/>
  <c r="AE54" i="2"/>
  <c r="U54" i="2"/>
  <c r="AS53" i="2"/>
  <c r="AN53" i="2"/>
  <c r="AM53" i="2"/>
  <c r="AJ53" i="2"/>
  <c r="AE53" i="2"/>
  <c r="U53" i="2"/>
  <c r="AG53" i="2"/>
  <c r="AP52" i="2"/>
  <c r="AD52" i="2"/>
  <c r="AC52" i="2"/>
  <c r="AB52" i="2"/>
  <c r="AA52" i="2"/>
  <c r="X52" i="2"/>
  <c r="T52" i="2"/>
  <c r="S52" i="2"/>
  <c r="R52" i="2"/>
  <c r="Q52" i="2"/>
  <c r="O52" i="2"/>
  <c r="F52" i="2"/>
  <c r="C52" i="2"/>
  <c r="AS51" i="2"/>
  <c r="AR51" i="2"/>
  <c r="AT51" i="2" s="1"/>
  <c r="AO51" i="2"/>
  <c r="AN51" i="2"/>
  <c r="AM51" i="2"/>
  <c r="AL51" i="2"/>
  <c r="AK51" i="2"/>
  <c r="AJ51" i="2"/>
  <c r="AE51" i="2"/>
  <c r="U51" i="2"/>
  <c r="H51" i="2"/>
  <c r="AG51" i="2" s="1"/>
  <c r="K51" i="2"/>
  <c r="E51" i="2"/>
  <c r="AN50" i="2"/>
  <c r="AE50" i="2"/>
  <c r="U50" i="2"/>
  <c r="AO49" i="2"/>
  <c r="AN49" i="2"/>
  <c r="AK49" i="2"/>
  <c r="AJ49" i="2"/>
  <c r="AE49" i="2"/>
  <c r="U49" i="2"/>
  <c r="H49" i="2"/>
  <c r="AG49" i="2" s="1"/>
  <c r="AS48" i="2"/>
  <c r="AR48" i="2"/>
  <c r="AO48" i="2"/>
  <c r="AN48" i="2"/>
  <c r="AM48" i="2"/>
  <c r="AL48" i="2"/>
  <c r="AK48" i="2"/>
  <c r="AJ48" i="2"/>
  <c r="AE48" i="2"/>
  <c r="U48" i="2"/>
  <c r="H48" i="2"/>
  <c r="AG48" i="2" s="1"/>
  <c r="K48" i="2"/>
  <c r="E48" i="2"/>
  <c r="Y48" i="2" s="1"/>
  <c r="AS47" i="2"/>
  <c r="AR47" i="2"/>
  <c r="AO47" i="2"/>
  <c r="AN47" i="2"/>
  <c r="AM47" i="2"/>
  <c r="AL47" i="2"/>
  <c r="AK47" i="2"/>
  <c r="AJ47" i="2"/>
  <c r="AE47" i="2"/>
  <c r="U47" i="2"/>
  <c r="H47" i="2"/>
  <c r="AG47" i="2" s="1"/>
  <c r="K47" i="2"/>
  <c r="E47" i="2"/>
  <c r="AL46" i="2"/>
  <c r="AE46" i="2"/>
  <c r="U46" i="2"/>
  <c r="AS45" i="2"/>
  <c r="AN45" i="2"/>
  <c r="AM45" i="2"/>
  <c r="AJ45" i="2"/>
  <c r="AE45" i="2"/>
  <c r="U45" i="2"/>
  <c r="H45" i="2"/>
  <c r="AG45" i="2" s="1"/>
  <c r="K45" i="2"/>
  <c r="AS44" i="2"/>
  <c r="AR44" i="2"/>
  <c r="AO44" i="2"/>
  <c r="AN44" i="2"/>
  <c r="AM44" i="2"/>
  <c r="AL44" i="2"/>
  <c r="AK44" i="2"/>
  <c r="AJ44" i="2"/>
  <c r="AE44" i="2"/>
  <c r="U44" i="2"/>
  <c r="H44" i="2"/>
  <c r="AG44" i="2" s="1"/>
  <c r="K44" i="2"/>
  <c r="E44" i="2"/>
  <c r="AS43" i="2"/>
  <c r="AR43" i="2"/>
  <c r="AO43" i="2"/>
  <c r="AN43" i="2"/>
  <c r="AM43" i="2"/>
  <c r="AL43" i="2"/>
  <c r="AK43" i="2"/>
  <c r="AJ43" i="2"/>
  <c r="AE43" i="2"/>
  <c r="U43" i="2"/>
  <c r="H43" i="2"/>
  <c r="K43" i="2"/>
  <c r="E43" i="2"/>
  <c r="Y43" i="2" s="1"/>
  <c r="AJ42" i="2"/>
  <c r="AE42" i="2"/>
  <c r="U42" i="2"/>
  <c r="AS41" i="2"/>
  <c r="AN41" i="2"/>
  <c r="AM41" i="2"/>
  <c r="AJ41" i="2"/>
  <c r="AE41" i="2"/>
  <c r="U41" i="2"/>
  <c r="H41" i="2"/>
  <c r="AS40" i="2"/>
  <c r="AR40" i="2"/>
  <c r="AO40" i="2"/>
  <c r="AN40" i="2"/>
  <c r="AM40" i="2"/>
  <c r="AL40" i="2"/>
  <c r="AK40" i="2"/>
  <c r="AJ40" i="2"/>
  <c r="AE40" i="2"/>
  <c r="U40" i="2"/>
  <c r="H40" i="2"/>
  <c r="AG40" i="2" s="1"/>
  <c r="K40" i="2"/>
  <c r="E40" i="2"/>
  <c r="Y40" i="2" s="1"/>
  <c r="AN39" i="2"/>
  <c r="AM39" i="2"/>
  <c r="AL39" i="2"/>
  <c r="AK39" i="2"/>
  <c r="AJ39" i="2"/>
  <c r="AE39" i="2"/>
  <c r="U39" i="2"/>
  <c r="H39" i="2"/>
  <c r="K39" i="2"/>
  <c r="E39" i="2"/>
  <c r="Y39" i="2" s="1"/>
  <c r="AE38" i="2"/>
  <c r="U38" i="2"/>
  <c r="AR37" i="2"/>
  <c r="AO37" i="2"/>
  <c r="AL37" i="2"/>
  <c r="AK37" i="2"/>
  <c r="AE37" i="2"/>
  <c r="U37" i="2"/>
  <c r="K37" i="2"/>
  <c r="E37" i="2"/>
  <c r="Y37" i="2" s="1"/>
  <c r="AS36" i="2"/>
  <c r="AR36" i="2"/>
  <c r="AT36" i="2" s="1"/>
  <c r="AO36" i="2"/>
  <c r="AN36" i="2"/>
  <c r="AM36" i="2"/>
  <c r="AL36" i="2"/>
  <c r="AK36" i="2"/>
  <c r="AJ36" i="2"/>
  <c r="AE36" i="2"/>
  <c r="U36" i="2"/>
  <c r="H36" i="2"/>
  <c r="AG36" i="2" s="1"/>
  <c r="K36" i="2"/>
  <c r="E36" i="2"/>
  <c r="AS35" i="2"/>
  <c r="AR35" i="2"/>
  <c r="AO35" i="2"/>
  <c r="AN35" i="2"/>
  <c r="AM35" i="2"/>
  <c r="AL35" i="2"/>
  <c r="AK35" i="2"/>
  <c r="AJ35" i="2"/>
  <c r="AE35" i="2"/>
  <c r="U35" i="2"/>
  <c r="H35" i="2"/>
  <c r="K35" i="2"/>
  <c r="E35" i="2"/>
  <c r="Y35" i="2" s="1"/>
  <c r="AE34" i="2"/>
  <c r="U34" i="2"/>
  <c r="AS33" i="2"/>
  <c r="AR33" i="2"/>
  <c r="AM33" i="2"/>
  <c r="AL33" i="2"/>
  <c r="AE33" i="2"/>
  <c r="U33" i="2"/>
  <c r="K33" i="2"/>
  <c r="E33" i="2"/>
  <c r="Y33" i="2" s="1"/>
  <c r="AS32" i="2"/>
  <c r="AR32" i="2"/>
  <c r="AT32" i="2" s="1"/>
  <c r="AO32" i="2"/>
  <c r="AN32" i="2"/>
  <c r="AM32" i="2"/>
  <c r="AL32" i="2"/>
  <c r="AK32" i="2"/>
  <c r="AJ32" i="2"/>
  <c r="AE32" i="2"/>
  <c r="U32" i="2"/>
  <c r="H32" i="2"/>
  <c r="AG32" i="2" s="1"/>
  <c r="K32" i="2"/>
  <c r="E32" i="2"/>
  <c r="Y32" i="2" s="1"/>
  <c r="AS31" i="2"/>
  <c r="AR31" i="2"/>
  <c r="AO31" i="2"/>
  <c r="AN31" i="2"/>
  <c r="AM31" i="2"/>
  <c r="AL31" i="2"/>
  <c r="AK31" i="2"/>
  <c r="AJ31" i="2"/>
  <c r="AE31" i="2"/>
  <c r="U31" i="2"/>
  <c r="H31" i="2"/>
  <c r="K31" i="2"/>
  <c r="E31" i="2"/>
  <c r="Y31" i="2" s="1"/>
  <c r="AS30" i="2"/>
  <c r="AR30" i="2"/>
  <c r="AO30" i="2"/>
  <c r="AN30" i="2"/>
  <c r="AM30" i="2"/>
  <c r="AL30" i="2"/>
  <c r="AK30" i="2"/>
  <c r="AJ30" i="2"/>
  <c r="AE30" i="2"/>
  <c r="U30" i="2"/>
  <c r="H30" i="2"/>
  <c r="AG30" i="2" s="1"/>
  <c r="E30" i="2"/>
  <c r="Y30" i="2" s="1"/>
  <c r="AP29" i="2"/>
  <c r="AD29" i="2"/>
  <c r="AC29" i="2"/>
  <c r="AB29" i="2"/>
  <c r="AA29" i="2"/>
  <c r="X29" i="2"/>
  <c r="T29" i="2"/>
  <c r="S29" i="2"/>
  <c r="R29" i="2"/>
  <c r="Q29" i="2"/>
  <c r="O29" i="2"/>
  <c r="L29" i="2"/>
  <c r="F29" i="2"/>
  <c r="C29" i="2"/>
  <c r="AN28" i="2"/>
  <c r="AK28" i="2"/>
  <c r="AF28" i="2"/>
  <c r="AE28" i="2"/>
  <c r="Y28" i="2"/>
  <c r="U28" i="2"/>
  <c r="H28" i="2"/>
  <c r="AS27" i="2"/>
  <c r="AR27" i="2"/>
  <c r="AO27" i="2"/>
  <c r="AN27" i="2"/>
  <c r="AM27" i="2"/>
  <c r="AL27" i="2"/>
  <c r="AK27" i="2"/>
  <c r="AJ27" i="2"/>
  <c r="AF27" i="2"/>
  <c r="AE27" i="2"/>
  <c r="Y27" i="2"/>
  <c r="U27" i="2"/>
  <c r="H27" i="2"/>
  <c r="AG27" i="2" s="1"/>
  <c r="E27" i="2"/>
  <c r="AS26" i="2"/>
  <c r="AR26" i="2"/>
  <c r="AO26" i="2"/>
  <c r="AN26" i="2"/>
  <c r="AM26" i="2"/>
  <c r="AL26" i="2"/>
  <c r="AK26" i="2"/>
  <c r="AJ26" i="2"/>
  <c r="AE26" i="2"/>
  <c r="Y26" i="2"/>
  <c r="U26" i="2"/>
  <c r="H26" i="2"/>
  <c r="E26" i="2"/>
  <c r="AS25" i="2"/>
  <c r="AR25" i="2"/>
  <c r="AO25" i="2"/>
  <c r="AN25" i="2"/>
  <c r="AM25" i="2"/>
  <c r="AL25" i="2"/>
  <c r="AK25" i="2"/>
  <c r="AJ25" i="2"/>
  <c r="AE25" i="2"/>
  <c r="Y25" i="2"/>
  <c r="U25" i="2"/>
  <c r="H25" i="2"/>
  <c r="AG25" i="2" s="1"/>
  <c r="E25" i="2"/>
  <c r="AP24" i="2"/>
  <c r="AD24" i="2"/>
  <c r="AC24" i="2"/>
  <c r="AB24" i="2"/>
  <c r="AA24" i="2"/>
  <c r="X24" i="2"/>
  <c r="T24" i="2"/>
  <c r="S24" i="2"/>
  <c r="R24" i="2"/>
  <c r="Q24" i="2"/>
  <c r="O24" i="2"/>
  <c r="L24" i="2"/>
  <c r="F24" i="2"/>
  <c r="C24" i="2"/>
  <c r="AS23" i="2"/>
  <c r="AR23" i="2"/>
  <c r="AO23" i="2"/>
  <c r="AN23" i="2"/>
  <c r="AM23" i="2"/>
  <c r="AL23" i="2"/>
  <c r="AK23" i="2"/>
  <c r="AJ23" i="2"/>
  <c r="AE23" i="2"/>
  <c r="Y23" i="2"/>
  <c r="U23" i="2"/>
  <c r="H23" i="2"/>
  <c r="AG23" i="2" s="1"/>
  <c r="K23" i="2"/>
  <c r="E23" i="2"/>
  <c r="AS22" i="2"/>
  <c r="AR22" i="2"/>
  <c r="AO22" i="2"/>
  <c r="AN22" i="2"/>
  <c r="AM22" i="2"/>
  <c r="AL22" i="2"/>
  <c r="AK22" i="2"/>
  <c r="AJ22" i="2"/>
  <c r="AE22" i="2"/>
  <c r="Y22" i="2"/>
  <c r="U22" i="2"/>
  <c r="H22" i="2"/>
  <c r="AG22" i="2" s="1"/>
  <c r="E22" i="2"/>
  <c r="AS21" i="2"/>
  <c r="AR21" i="2"/>
  <c r="AO21" i="2"/>
  <c r="AN21" i="2"/>
  <c r="AM21" i="2"/>
  <c r="AL21" i="2"/>
  <c r="AK21" i="2"/>
  <c r="AJ21" i="2"/>
  <c r="AE21" i="2"/>
  <c r="Y21" i="2"/>
  <c r="U21" i="2"/>
  <c r="H21" i="2"/>
  <c r="AG21" i="2" s="1"/>
  <c r="K21" i="2"/>
  <c r="E21" i="2"/>
  <c r="AE20" i="2"/>
  <c r="Y20" i="2"/>
  <c r="U20" i="2"/>
  <c r="AS19" i="2"/>
  <c r="AR19" i="2"/>
  <c r="AO19" i="2"/>
  <c r="AN19" i="2"/>
  <c r="AM19" i="2"/>
  <c r="AL19" i="2"/>
  <c r="AK19" i="2"/>
  <c r="AJ19" i="2"/>
  <c r="AE19" i="2"/>
  <c r="Y19" i="2"/>
  <c r="U19" i="2"/>
  <c r="H19" i="2"/>
  <c r="AG19" i="2" s="1"/>
  <c r="E19" i="2"/>
  <c r="AR18" i="2"/>
  <c r="AL18" i="2"/>
  <c r="AE18" i="2"/>
  <c r="Y18" i="2"/>
  <c r="U18" i="2"/>
  <c r="AS17" i="2"/>
  <c r="AR17" i="2"/>
  <c r="AO17" i="2"/>
  <c r="AN17" i="2"/>
  <c r="AM17" i="2"/>
  <c r="AL17" i="2"/>
  <c r="AK17" i="2"/>
  <c r="AJ17" i="2"/>
  <c r="AE17" i="2"/>
  <c r="U17" i="2"/>
  <c r="H17" i="2"/>
  <c r="G17" i="2"/>
  <c r="F17" i="2"/>
  <c r="Y17" i="2" s="1"/>
  <c r="E17" i="2"/>
  <c r="AE16" i="2"/>
  <c r="U16" i="2"/>
  <c r="F16" i="2"/>
  <c r="AP15" i="2"/>
  <c r="AD15" i="2"/>
  <c r="AC15" i="2"/>
  <c r="AB15" i="2"/>
  <c r="AA15" i="2"/>
  <c r="X15" i="2"/>
  <c r="T15" i="2"/>
  <c r="S15" i="2"/>
  <c r="R15" i="2"/>
  <c r="Q15" i="2"/>
  <c r="O15" i="2"/>
  <c r="L15" i="2"/>
  <c r="C15" i="2"/>
  <c r="AS111" i="1"/>
  <c r="AR111" i="1"/>
  <c r="AP111" i="1"/>
  <c r="AO111" i="1"/>
  <c r="AN111" i="1"/>
  <c r="AM111" i="1"/>
  <c r="AL111" i="1"/>
  <c r="AK111" i="1"/>
  <c r="AJ111" i="1"/>
  <c r="AI111" i="1"/>
  <c r="AH111" i="1"/>
  <c r="AG111" i="1"/>
  <c r="AD111" i="1"/>
  <c r="AC111" i="1"/>
  <c r="AB111" i="1"/>
  <c r="AA111" i="1"/>
  <c r="Y111" i="1"/>
  <c r="X111" i="1"/>
  <c r="W111" i="1"/>
  <c r="V111" i="1"/>
  <c r="U111" i="1"/>
  <c r="T111" i="1"/>
  <c r="S111" i="1"/>
  <c r="R111" i="1"/>
  <c r="Q111" i="1"/>
  <c r="P111" i="1"/>
  <c r="O111" i="1"/>
  <c r="N111" i="1"/>
  <c r="M111" i="1"/>
  <c r="L111" i="1"/>
  <c r="K111" i="1"/>
  <c r="J111" i="1"/>
  <c r="I111" i="1"/>
  <c r="H111" i="1"/>
  <c r="G111" i="1"/>
  <c r="F111" i="1"/>
  <c r="E111" i="1"/>
  <c r="D111" i="1"/>
  <c r="C111" i="1"/>
  <c r="AT111" i="1"/>
  <c r="AQ111" i="1"/>
  <c r="AE111" i="1"/>
  <c r="AF111" i="1"/>
  <c r="AS107" i="1"/>
  <c r="AR107" i="1"/>
  <c r="AO107" i="1"/>
  <c r="AN107" i="1"/>
  <c r="AM107" i="1"/>
  <c r="AL107" i="1"/>
  <c r="AK107" i="1"/>
  <c r="AJ107" i="1"/>
  <c r="AE107" i="1"/>
  <c r="Y107" i="1"/>
  <c r="U107" i="1"/>
  <c r="I107" i="1"/>
  <c r="H107" i="1"/>
  <c r="AG107" i="1" s="1"/>
  <c r="E107" i="1"/>
  <c r="AI107" i="1" s="1"/>
  <c r="AS106" i="1"/>
  <c r="AR106" i="1"/>
  <c r="AO106" i="1"/>
  <c r="AN106" i="1"/>
  <c r="AM106" i="1"/>
  <c r="AL106" i="1"/>
  <c r="AK106" i="1"/>
  <c r="AJ106" i="1"/>
  <c r="AE106" i="1"/>
  <c r="Y106" i="1"/>
  <c r="U106" i="1"/>
  <c r="I106" i="1"/>
  <c r="H106" i="1"/>
  <c r="AG106" i="1" s="1"/>
  <c r="K106" i="1"/>
  <c r="E106" i="1"/>
  <c r="AI106" i="1" s="1"/>
  <c r="AS105" i="1"/>
  <c r="AR105" i="1"/>
  <c r="AT105" i="1" s="1"/>
  <c r="AO105" i="1"/>
  <c r="AN105" i="1"/>
  <c r="AM105" i="1"/>
  <c r="AL105" i="1"/>
  <c r="AK105" i="1"/>
  <c r="AJ105" i="1"/>
  <c r="AE105" i="1"/>
  <c r="Y105" i="1"/>
  <c r="U105" i="1"/>
  <c r="I105" i="1"/>
  <c r="H105" i="1"/>
  <c r="AG105" i="1" s="1"/>
  <c r="E105" i="1"/>
  <c r="AI105" i="1" s="1"/>
  <c r="AS104" i="1"/>
  <c r="AR104" i="1"/>
  <c r="AO104" i="1"/>
  <c r="AN104" i="1"/>
  <c r="AM104" i="1"/>
  <c r="AL104" i="1"/>
  <c r="AK104" i="1"/>
  <c r="AJ104" i="1"/>
  <c r="AE104" i="1"/>
  <c r="Y104" i="1"/>
  <c r="U104" i="1"/>
  <c r="L104" i="1"/>
  <c r="I104" i="1"/>
  <c r="H104" i="1"/>
  <c r="AG104" i="1" s="1"/>
  <c r="E104" i="1"/>
  <c r="AI104" i="1" s="1"/>
  <c r="AS103" i="1"/>
  <c r="AR103" i="1"/>
  <c r="AO103" i="1"/>
  <c r="AN103" i="1"/>
  <c r="AM103" i="1"/>
  <c r="AL103" i="1"/>
  <c r="AK103" i="1"/>
  <c r="AJ103" i="1"/>
  <c r="AE103" i="1"/>
  <c r="Y103" i="1"/>
  <c r="U103" i="1"/>
  <c r="L103" i="1"/>
  <c r="I103" i="1"/>
  <c r="H103" i="1"/>
  <c r="AG103" i="1" s="1"/>
  <c r="K103" i="1"/>
  <c r="E103" i="1"/>
  <c r="AS102" i="1"/>
  <c r="AR102" i="1"/>
  <c r="AO102" i="1"/>
  <c r="AN102" i="1"/>
  <c r="AM102" i="1"/>
  <c r="AL102" i="1"/>
  <c r="AK102" i="1"/>
  <c r="AJ102" i="1"/>
  <c r="AE102" i="1"/>
  <c r="Y102" i="1"/>
  <c r="U102" i="1"/>
  <c r="L102" i="1"/>
  <c r="I102" i="1"/>
  <c r="H102" i="1"/>
  <c r="AG102" i="1" s="1"/>
  <c r="K102" i="1"/>
  <c r="E102" i="1"/>
  <c r="AI102" i="1" s="1"/>
  <c r="AS101" i="1"/>
  <c r="AR101" i="1"/>
  <c r="AT101" i="1" s="1"/>
  <c r="AO101" i="1"/>
  <c r="AN101" i="1"/>
  <c r="AM101" i="1"/>
  <c r="AL101" i="1"/>
  <c r="AK101" i="1"/>
  <c r="AJ101" i="1"/>
  <c r="AE101" i="1"/>
  <c r="Y101" i="1"/>
  <c r="U101" i="1"/>
  <c r="L101" i="1"/>
  <c r="I101" i="1"/>
  <c r="H101" i="1"/>
  <c r="E101" i="1"/>
  <c r="W101" i="1" s="1"/>
  <c r="Z101" i="1" s="1"/>
  <c r="AF101" i="1" s="1"/>
  <c r="AS100" i="1"/>
  <c r="AR100" i="1"/>
  <c r="AT100" i="1" s="1"/>
  <c r="AO100" i="1"/>
  <c r="AN100" i="1"/>
  <c r="AM100" i="1"/>
  <c r="AL100" i="1"/>
  <c r="AK100" i="1"/>
  <c r="AJ100" i="1"/>
  <c r="AE100" i="1"/>
  <c r="Y100" i="1"/>
  <c r="U100" i="1"/>
  <c r="L100" i="1"/>
  <c r="I100" i="1"/>
  <c r="H100" i="1"/>
  <c r="AG100" i="1" s="1"/>
  <c r="E100" i="1"/>
  <c r="AI100" i="1" s="1"/>
  <c r="AS99" i="1"/>
  <c r="AR99" i="1"/>
  <c r="AO99" i="1"/>
  <c r="AN99" i="1"/>
  <c r="AM99" i="1"/>
  <c r="AL99" i="1"/>
  <c r="AK99" i="1"/>
  <c r="AJ99" i="1"/>
  <c r="AE99" i="1"/>
  <c r="Y99" i="1"/>
  <c r="U99" i="1"/>
  <c r="L99" i="1"/>
  <c r="I99" i="1"/>
  <c r="H99" i="1"/>
  <c r="AG99" i="1" s="1"/>
  <c r="K99" i="1"/>
  <c r="E99" i="1"/>
  <c r="AS98" i="1"/>
  <c r="AR98" i="1"/>
  <c r="AT98" i="1" s="1"/>
  <c r="AO98" i="1"/>
  <c r="AN98" i="1"/>
  <c r="AM98" i="1"/>
  <c r="AL98" i="1"/>
  <c r="AK98" i="1"/>
  <c r="AJ98" i="1"/>
  <c r="AE98" i="1"/>
  <c r="Y98" i="1"/>
  <c r="U98" i="1"/>
  <c r="L98" i="1"/>
  <c r="I98" i="1"/>
  <c r="H98" i="1"/>
  <c r="AG98" i="1" s="1"/>
  <c r="K98" i="1"/>
  <c r="E98" i="1"/>
  <c r="AI98" i="1" s="1"/>
  <c r="AS97" i="1"/>
  <c r="AT97" i="1" s="1"/>
  <c r="AR97" i="1"/>
  <c r="AO97" i="1"/>
  <c r="AN97" i="1"/>
  <c r="AM97" i="1"/>
  <c r="AL97" i="1"/>
  <c r="AK97" i="1"/>
  <c r="AJ97" i="1"/>
  <c r="AE97" i="1"/>
  <c r="Y97" i="1"/>
  <c r="U97" i="1"/>
  <c r="L97" i="1"/>
  <c r="I97" i="1"/>
  <c r="H97" i="1"/>
  <c r="K97" i="1"/>
  <c r="E97" i="1"/>
  <c r="AS96" i="1"/>
  <c r="AT96" i="1" s="1"/>
  <c r="AR96" i="1"/>
  <c r="AO96" i="1"/>
  <c r="AN96" i="1"/>
  <c r="AM96" i="1"/>
  <c r="AL96" i="1"/>
  <c r="AK96" i="1"/>
  <c r="AJ96" i="1"/>
  <c r="AE96" i="1"/>
  <c r="Y96" i="1"/>
  <c r="U96" i="1"/>
  <c r="L96" i="1"/>
  <c r="I96" i="1"/>
  <c r="H96" i="1"/>
  <c r="AG96" i="1" s="1"/>
  <c r="K96" i="1"/>
  <c r="E96" i="1"/>
  <c r="W96" i="1" s="1"/>
  <c r="Z96" i="1" s="1"/>
  <c r="AF96" i="1" s="1"/>
  <c r="AS95" i="1"/>
  <c r="AR95" i="1"/>
  <c r="AO95" i="1"/>
  <c r="AN95" i="1"/>
  <c r="AM95" i="1"/>
  <c r="AL95" i="1"/>
  <c r="AK95" i="1"/>
  <c r="AJ95" i="1"/>
  <c r="AE95" i="1"/>
  <c r="Y95" i="1"/>
  <c r="U95" i="1"/>
  <c r="L95" i="1"/>
  <c r="I95" i="1"/>
  <c r="I84" i="1" s="1"/>
  <c r="H95" i="1"/>
  <c r="AG95" i="1" s="1"/>
  <c r="K95" i="1"/>
  <c r="E95" i="1"/>
  <c r="AI95" i="1" s="1"/>
  <c r="AS94" i="1"/>
  <c r="AR94" i="1"/>
  <c r="AT94" i="1" s="1"/>
  <c r="AO94" i="1"/>
  <c r="AN94" i="1"/>
  <c r="AM94" i="1"/>
  <c r="AL94" i="1"/>
  <c r="AK94" i="1"/>
  <c r="AJ94" i="1"/>
  <c r="AE94" i="1"/>
  <c r="Y94" i="1"/>
  <c r="U94" i="1"/>
  <c r="L94" i="1"/>
  <c r="I94" i="1"/>
  <c r="H94" i="1"/>
  <c r="AG94" i="1" s="1"/>
  <c r="K94" i="1"/>
  <c r="E94" i="1"/>
  <c r="AI94" i="1" s="1"/>
  <c r="AS93" i="1"/>
  <c r="AT93" i="1" s="1"/>
  <c r="AR93" i="1"/>
  <c r="AO93" i="1"/>
  <c r="AN93" i="1"/>
  <c r="AM93" i="1"/>
  <c r="AL93" i="1"/>
  <c r="AK93" i="1"/>
  <c r="AJ93" i="1"/>
  <c r="AE93" i="1"/>
  <c r="Y93" i="1"/>
  <c r="U93" i="1"/>
  <c r="L93" i="1"/>
  <c r="K93" i="1"/>
  <c r="I93" i="1"/>
  <c r="H93" i="1"/>
  <c r="AG93" i="1" s="1"/>
  <c r="E93" i="1"/>
  <c r="W93" i="1" s="1"/>
  <c r="Z93" i="1" s="1"/>
  <c r="AF93" i="1" s="1"/>
  <c r="AS92" i="1"/>
  <c r="AR92" i="1"/>
  <c r="AT92" i="1" s="1"/>
  <c r="AO92" i="1"/>
  <c r="AN92" i="1"/>
  <c r="AM92" i="1"/>
  <c r="AL92" i="1"/>
  <c r="AK92" i="1"/>
  <c r="AJ92" i="1"/>
  <c r="AE92" i="1"/>
  <c r="Y92" i="1"/>
  <c r="U92" i="1"/>
  <c r="L92" i="1"/>
  <c r="I92" i="1"/>
  <c r="H92" i="1"/>
  <c r="AG92" i="1" s="1"/>
  <c r="E92" i="1"/>
  <c r="W92" i="1" s="1"/>
  <c r="AS91" i="1"/>
  <c r="AR91" i="1"/>
  <c r="AT91" i="1" s="1"/>
  <c r="AO91" i="1"/>
  <c r="AN91" i="1"/>
  <c r="AM91" i="1"/>
  <c r="AL91" i="1"/>
  <c r="AK91" i="1"/>
  <c r="AJ91" i="1"/>
  <c r="AE91" i="1"/>
  <c r="Y91" i="1"/>
  <c r="U91" i="1"/>
  <c r="L91" i="1"/>
  <c r="I91" i="1"/>
  <c r="H91" i="1"/>
  <c r="AG91" i="1" s="1"/>
  <c r="K91" i="1"/>
  <c r="E91" i="1"/>
  <c r="AI91" i="1" s="1"/>
  <c r="AS90" i="1"/>
  <c r="AR90" i="1"/>
  <c r="AT90" i="1" s="1"/>
  <c r="AO90" i="1"/>
  <c r="AN90" i="1"/>
  <c r="AM90" i="1"/>
  <c r="AL90" i="1"/>
  <c r="AK90" i="1"/>
  <c r="AJ90" i="1"/>
  <c r="AE90" i="1"/>
  <c r="Y90" i="1"/>
  <c r="U90" i="1"/>
  <c r="L90" i="1"/>
  <c r="I90" i="1"/>
  <c r="H90" i="1"/>
  <c r="E90" i="1"/>
  <c r="W90" i="1" s="1"/>
  <c r="AS89" i="1"/>
  <c r="AR89" i="1"/>
  <c r="AT89" i="1" s="1"/>
  <c r="AO89" i="1"/>
  <c r="AN89" i="1"/>
  <c r="AM89" i="1"/>
  <c r="AL89" i="1"/>
  <c r="AK89" i="1"/>
  <c r="AJ89" i="1"/>
  <c r="AE89" i="1"/>
  <c r="Y89" i="1"/>
  <c r="U89" i="1"/>
  <c r="L89" i="1"/>
  <c r="I89" i="1"/>
  <c r="H89" i="1"/>
  <c r="AG89" i="1" s="1"/>
  <c r="E89" i="1"/>
  <c r="W89" i="1" s="1"/>
  <c r="AS88" i="1"/>
  <c r="AR88" i="1"/>
  <c r="AO88" i="1"/>
  <c r="AN88" i="1"/>
  <c r="AM88" i="1"/>
  <c r="AL88" i="1"/>
  <c r="AK88" i="1"/>
  <c r="AJ88" i="1"/>
  <c r="AE88" i="1"/>
  <c r="Y88" i="1"/>
  <c r="U88" i="1"/>
  <c r="L88" i="1"/>
  <c r="I88" i="1"/>
  <c r="H88" i="1"/>
  <c r="AG88" i="1" s="1"/>
  <c r="E88" i="1"/>
  <c r="W88" i="1" s="1"/>
  <c r="AS87" i="1"/>
  <c r="AR87" i="1"/>
  <c r="AT87" i="1" s="1"/>
  <c r="AO87" i="1"/>
  <c r="AN87" i="1"/>
  <c r="AM87" i="1"/>
  <c r="AL87" i="1"/>
  <c r="AK87" i="1"/>
  <c r="AJ87" i="1"/>
  <c r="AE87" i="1"/>
  <c r="Y87" i="1"/>
  <c r="U87" i="1"/>
  <c r="L87" i="1"/>
  <c r="I87" i="1"/>
  <c r="H87" i="1"/>
  <c r="AG87" i="1" s="1"/>
  <c r="K87" i="1"/>
  <c r="E87" i="1"/>
  <c r="AI87" i="1" s="1"/>
  <c r="AS86" i="1"/>
  <c r="AR86" i="1"/>
  <c r="AO86" i="1"/>
  <c r="AN86" i="1"/>
  <c r="AM86" i="1"/>
  <c r="AL86" i="1"/>
  <c r="AK86" i="1"/>
  <c r="AJ86" i="1"/>
  <c r="AE86" i="1"/>
  <c r="Y86" i="1"/>
  <c r="Y84" i="1" s="1"/>
  <c r="U86" i="1"/>
  <c r="L86" i="1"/>
  <c r="I86" i="1"/>
  <c r="H86" i="1"/>
  <c r="K86" i="1"/>
  <c r="E86" i="1"/>
  <c r="AI86" i="1" s="1"/>
  <c r="AS85" i="1"/>
  <c r="AR85" i="1"/>
  <c r="AO85" i="1"/>
  <c r="AN85" i="1"/>
  <c r="AM85" i="1"/>
  <c r="AL85" i="1"/>
  <c r="AK85" i="1"/>
  <c r="AJ85" i="1"/>
  <c r="AE85" i="1"/>
  <c r="Y85" i="1"/>
  <c r="U85" i="1"/>
  <c r="L85" i="1"/>
  <c r="I85" i="1"/>
  <c r="H85" i="1"/>
  <c r="AG85" i="1" s="1"/>
  <c r="E85" i="1"/>
  <c r="W85" i="1" s="1"/>
  <c r="AP84" i="1"/>
  <c r="AD84" i="1"/>
  <c r="AC84" i="1"/>
  <c r="AB84" i="1"/>
  <c r="AA84" i="1"/>
  <c r="X84" i="1"/>
  <c r="T84" i="1"/>
  <c r="S84" i="1"/>
  <c r="R84" i="1"/>
  <c r="Q84" i="1"/>
  <c r="O84" i="1"/>
  <c r="F84" i="1"/>
  <c r="D84" i="1"/>
  <c r="C84" i="1"/>
  <c r="AS83" i="1"/>
  <c r="AR83" i="1"/>
  <c r="AT83" i="1" s="1"/>
  <c r="AO83" i="1"/>
  <c r="AN83" i="1"/>
  <c r="AM83" i="1"/>
  <c r="AL83" i="1"/>
  <c r="AK83" i="1"/>
  <c r="AJ83" i="1"/>
  <c r="AE83" i="1"/>
  <c r="Y83" i="1"/>
  <c r="U83" i="1"/>
  <c r="I83" i="1"/>
  <c r="H83" i="1"/>
  <c r="AG83" i="1" s="1"/>
  <c r="K83" i="1"/>
  <c r="E83" i="1"/>
  <c r="AS82" i="1"/>
  <c r="AR82" i="1"/>
  <c r="AT82" i="1" s="1"/>
  <c r="AO82" i="1"/>
  <c r="AN82" i="1"/>
  <c r="AM82" i="1"/>
  <c r="AL82" i="1"/>
  <c r="AK82" i="1"/>
  <c r="AJ82" i="1"/>
  <c r="AE82" i="1"/>
  <c r="Y82" i="1"/>
  <c r="U82" i="1"/>
  <c r="I82" i="1"/>
  <c r="H82" i="1"/>
  <c r="K82" i="1"/>
  <c r="E82" i="1"/>
  <c r="W82" i="1" s="1"/>
  <c r="Z82" i="1" s="1"/>
  <c r="AF82" i="1" s="1"/>
  <c r="AS81" i="1"/>
  <c r="AR81" i="1"/>
  <c r="AO81" i="1"/>
  <c r="AN81" i="1"/>
  <c r="AM81" i="1"/>
  <c r="AL81" i="1"/>
  <c r="AK81" i="1"/>
  <c r="AJ81" i="1"/>
  <c r="AE81" i="1"/>
  <c r="Y81" i="1"/>
  <c r="U81" i="1"/>
  <c r="I81" i="1"/>
  <c r="H81" i="1"/>
  <c r="AG81" i="1" s="1"/>
  <c r="K81" i="1"/>
  <c r="E81" i="1"/>
  <c r="AS80" i="1"/>
  <c r="AR80" i="1"/>
  <c r="AT80" i="1" s="1"/>
  <c r="AO80" i="1"/>
  <c r="AN80" i="1"/>
  <c r="AM80" i="1"/>
  <c r="AL80" i="1"/>
  <c r="AK80" i="1"/>
  <c r="AJ80" i="1"/>
  <c r="AE80" i="1"/>
  <c r="Y80" i="1"/>
  <c r="U80" i="1"/>
  <c r="I80" i="1"/>
  <c r="H80" i="1"/>
  <c r="AG80" i="1" s="1"/>
  <c r="K80" i="1"/>
  <c r="E80" i="1"/>
  <c r="W80" i="1" s="1"/>
  <c r="Z80" i="1" s="1"/>
  <c r="AF80" i="1" s="1"/>
  <c r="AS79" i="1"/>
  <c r="AR79" i="1"/>
  <c r="AO79" i="1"/>
  <c r="AN79" i="1"/>
  <c r="AM79" i="1"/>
  <c r="AL79" i="1"/>
  <c r="AK79" i="1"/>
  <c r="AJ79" i="1"/>
  <c r="AE79" i="1"/>
  <c r="Y79" i="1"/>
  <c r="U79" i="1"/>
  <c r="L79" i="1"/>
  <c r="I79" i="1"/>
  <c r="H79" i="1"/>
  <c r="K79" i="1"/>
  <c r="E79" i="1"/>
  <c r="W79" i="1" s="1"/>
  <c r="Z79" i="1" s="1"/>
  <c r="AF79" i="1" s="1"/>
  <c r="AS78" i="1"/>
  <c r="AT78" i="1" s="1"/>
  <c r="AR78" i="1"/>
  <c r="AO78" i="1"/>
  <c r="AN78" i="1"/>
  <c r="AM78" i="1"/>
  <c r="AL78" i="1"/>
  <c r="AK78" i="1"/>
  <c r="AJ78" i="1"/>
  <c r="AE78" i="1"/>
  <c r="Y78" i="1"/>
  <c r="U78" i="1"/>
  <c r="I78" i="1"/>
  <c r="H78" i="1"/>
  <c r="AG78" i="1" s="1"/>
  <c r="K78" i="1"/>
  <c r="E78" i="1"/>
  <c r="AS77" i="1"/>
  <c r="AR77" i="1"/>
  <c r="AO77" i="1"/>
  <c r="AN77" i="1"/>
  <c r="AM77" i="1"/>
  <c r="AL77" i="1"/>
  <c r="AK77" i="1"/>
  <c r="AJ77" i="1"/>
  <c r="AE77" i="1"/>
  <c r="Y77" i="1"/>
  <c r="U77" i="1"/>
  <c r="I77" i="1"/>
  <c r="H77" i="1"/>
  <c r="AG77" i="1" s="1"/>
  <c r="K77" i="1"/>
  <c r="E77" i="1"/>
  <c r="W77" i="1" s="1"/>
  <c r="Z77" i="1" s="1"/>
  <c r="AF77" i="1" s="1"/>
  <c r="AS76" i="1"/>
  <c r="AR76" i="1"/>
  <c r="AO76" i="1"/>
  <c r="AN76" i="1"/>
  <c r="AM76" i="1"/>
  <c r="AL76" i="1"/>
  <c r="AK76" i="1"/>
  <c r="AJ76" i="1"/>
  <c r="AE76" i="1"/>
  <c r="Y76" i="1"/>
  <c r="U76" i="1"/>
  <c r="I76" i="1"/>
  <c r="H76" i="1"/>
  <c r="AG76" i="1" s="1"/>
  <c r="K76" i="1"/>
  <c r="E76" i="1"/>
  <c r="W76" i="1" s="1"/>
  <c r="Z76" i="1" s="1"/>
  <c r="AF76" i="1" s="1"/>
  <c r="AS75" i="1"/>
  <c r="AR75" i="1"/>
  <c r="AT75" i="1" s="1"/>
  <c r="AO75" i="1"/>
  <c r="AN75" i="1"/>
  <c r="AM75" i="1"/>
  <c r="AL75" i="1"/>
  <c r="AK75" i="1"/>
  <c r="AJ75" i="1"/>
  <c r="AE75" i="1"/>
  <c r="Y75" i="1"/>
  <c r="U75" i="1"/>
  <c r="I75" i="1"/>
  <c r="H75" i="1"/>
  <c r="AG75" i="1" s="1"/>
  <c r="K75" i="1"/>
  <c r="E75" i="1"/>
  <c r="W75" i="1" s="1"/>
  <c r="AS74" i="1"/>
  <c r="AR74" i="1"/>
  <c r="AO74" i="1"/>
  <c r="AN74" i="1"/>
  <c r="AM74" i="1"/>
  <c r="AL74" i="1"/>
  <c r="AK74" i="1"/>
  <c r="AJ74" i="1"/>
  <c r="AE74" i="1"/>
  <c r="Y74" i="1"/>
  <c r="W74" i="1"/>
  <c r="Z74" i="1" s="1"/>
  <c r="AF74" i="1" s="1"/>
  <c r="U74" i="1"/>
  <c r="I74" i="1"/>
  <c r="H74" i="1"/>
  <c r="AG74" i="1" s="1"/>
  <c r="K74" i="1"/>
  <c r="E74" i="1"/>
  <c r="AS73" i="1"/>
  <c r="AR73" i="1"/>
  <c r="AT73" i="1" s="1"/>
  <c r="AO73" i="1"/>
  <c r="AN73" i="1"/>
  <c r="AM73" i="1"/>
  <c r="AL73" i="1"/>
  <c r="AK73" i="1"/>
  <c r="AJ73" i="1"/>
  <c r="AE73" i="1"/>
  <c r="Y73" i="1"/>
  <c r="U73" i="1"/>
  <c r="L73" i="1"/>
  <c r="I73" i="1"/>
  <c r="H73" i="1"/>
  <c r="E73" i="1"/>
  <c r="W73" i="1" s="1"/>
  <c r="AS72" i="1"/>
  <c r="AR72" i="1"/>
  <c r="AO72" i="1"/>
  <c r="AN72" i="1"/>
  <c r="AM72" i="1"/>
  <c r="AL72" i="1"/>
  <c r="AK72" i="1"/>
  <c r="AJ72" i="1"/>
  <c r="AE72" i="1"/>
  <c r="Y72" i="1"/>
  <c r="U72" i="1"/>
  <c r="L72" i="1"/>
  <c r="I72" i="1"/>
  <c r="H72" i="1"/>
  <c r="AG72" i="1" s="1"/>
  <c r="K72" i="1"/>
  <c r="E72" i="1"/>
  <c r="AS71" i="1"/>
  <c r="AR71" i="1"/>
  <c r="AO71" i="1"/>
  <c r="AN71" i="1"/>
  <c r="AM71" i="1"/>
  <c r="AL71" i="1"/>
  <c r="AK71" i="1"/>
  <c r="AJ71" i="1"/>
  <c r="AE71" i="1"/>
  <c r="Y71" i="1"/>
  <c r="U71" i="1"/>
  <c r="L71" i="1"/>
  <c r="I71" i="1"/>
  <c r="H71" i="1"/>
  <c r="AG71" i="1" s="1"/>
  <c r="K71" i="1"/>
  <c r="E71" i="1"/>
  <c r="AS70" i="1"/>
  <c r="AR70" i="1"/>
  <c r="AT70" i="1" s="1"/>
  <c r="AO70" i="1"/>
  <c r="AN70" i="1"/>
  <c r="AM70" i="1"/>
  <c r="AL70" i="1"/>
  <c r="AK70" i="1"/>
  <c r="AJ70" i="1"/>
  <c r="AE70" i="1"/>
  <c r="Y70" i="1"/>
  <c r="U70" i="1"/>
  <c r="L70" i="1"/>
  <c r="I70" i="1"/>
  <c r="H70" i="1"/>
  <c r="AG70" i="1" s="1"/>
  <c r="K70" i="1"/>
  <c r="E70" i="1"/>
  <c r="AS69" i="1"/>
  <c r="AT69" i="1" s="1"/>
  <c r="AR69" i="1"/>
  <c r="AO69" i="1"/>
  <c r="AN69" i="1"/>
  <c r="AM69" i="1"/>
  <c r="AL69" i="1"/>
  <c r="AK69" i="1"/>
  <c r="AJ69" i="1"/>
  <c r="AE69" i="1"/>
  <c r="Y69" i="1"/>
  <c r="U69" i="1"/>
  <c r="L69" i="1"/>
  <c r="I69" i="1"/>
  <c r="H69" i="1"/>
  <c r="E69" i="1"/>
  <c r="W69" i="1" s="1"/>
  <c r="AS68" i="1"/>
  <c r="AR68" i="1"/>
  <c r="AO68" i="1"/>
  <c r="AN68" i="1"/>
  <c r="AM68" i="1"/>
  <c r="AL68" i="1"/>
  <c r="AK68" i="1"/>
  <c r="AJ68" i="1"/>
  <c r="AE68" i="1"/>
  <c r="Y68" i="1"/>
  <c r="U68" i="1"/>
  <c r="I68" i="1"/>
  <c r="H68" i="1"/>
  <c r="AG68" i="1" s="1"/>
  <c r="K68" i="1"/>
  <c r="E68" i="1"/>
  <c r="AS67" i="1"/>
  <c r="AR67" i="1"/>
  <c r="AT67" i="1" s="1"/>
  <c r="AO67" i="1"/>
  <c r="AN67" i="1"/>
  <c r="AM67" i="1"/>
  <c r="AL67" i="1"/>
  <c r="AK67" i="1"/>
  <c r="AJ67" i="1"/>
  <c r="AE67" i="1"/>
  <c r="Y67" i="1"/>
  <c r="U67" i="1"/>
  <c r="I67" i="1"/>
  <c r="H67" i="1"/>
  <c r="AG67" i="1" s="1"/>
  <c r="K67" i="1"/>
  <c r="E67" i="1"/>
  <c r="W67" i="1" s="1"/>
  <c r="Z67" i="1" s="1"/>
  <c r="AF67" i="1" s="1"/>
  <c r="AS66" i="1"/>
  <c r="AT66" i="1" s="1"/>
  <c r="AR66" i="1"/>
  <c r="AO66" i="1"/>
  <c r="AN66" i="1"/>
  <c r="AM66" i="1"/>
  <c r="AL66" i="1"/>
  <c r="AK66" i="1"/>
  <c r="AJ66" i="1"/>
  <c r="AE66" i="1"/>
  <c r="Y66" i="1"/>
  <c r="U66" i="1"/>
  <c r="I66" i="1"/>
  <c r="H66" i="1"/>
  <c r="AG66" i="1" s="1"/>
  <c r="K66" i="1"/>
  <c r="E66" i="1"/>
  <c r="AS65" i="1"/>
  <c r="AR65" i="1"/>
  <c r="AO65" i="1"/>
  <c r="AN65" i="1"/>
  <c r="AM65" i="1"/>
  <c r="AL65" i="1"/>
  <c r="AK65" i="1"/>
  <c r="AJ65" i="1"/>
  <c r="AE65" i="1"/>
  <c r="Y65" i="1"/>
  <c r="U65" i="1"/>
  <c r="I65" i="1"/>
  <c r="H65" i="1"/>
  <c r="AG65" i="1" s="1"/>
  <c r="K65" i="1"/>
  <c r="E65" i="1"/>
  <c r="W65" i="1" s="1"/>
  <c r="Z65" i="1" s="1"/>
  <c r="AF65" i="1" s="1"/>
  <c r="AS64" i="1"/>
  <c r="AR64" i="1"/>
  <c r="AO64" i="1"/>
  <c r="AN64" i="1"/>
  <c r="AM64" i="1"/>
  <c r="AL64" i="1"/>
  <c r="AK64" i="1"/>
  <c r="AJ64" i="1"/>
  <c r="AE64" i="1"/>
  <c r="Y64" i="1"/>
  <c r="U64" i="1"/>
  <c r="I64" i="1"/>
  <c r="H64" i="1"/>
  <c r="AG64" i="1" s="1"/>
  <c r="K64" i="1"/>
  <c r="E64" i="1"/>
  <c r="AS63" i="1"/>
  <c r="AR63" i="1"/>
  <c r="AT63" i="1" s="1"/>
  <c r="AO63" i="1"/>
  <c r="AN63" i="1"/>
  <c r="AM63" i="1"/>
  <c r="AL63" i="1"/>
  <c r="AK63" i="1"/>
  <c r="AJ63" i="1"/>
  <c r="AE63" i="1"/>
  <c r="Y63" i="1"/>
  <c r="U63" i="1"/>
  <c r="I63" i="1"/>
  <c r="H63" i="1"/>
  <c r="K63" i="1"/>
  <c r="E63" i="1"/>
  <c r="W63" i="1" s="1"/>
  <c r="Z63" i="1" s="1"/>
  <c r="AF63" i="1" s="1"/>
  <c r="AS62" i="1"/>
  <c r="AR62" i="1"/>
  <c r="AO62" i="1"/>
  <c r="AN62" i="1"/>
  <c r="AM62" i="1"/>
  <c r="AL62" i="1"/>
  <c r="AK62" i="1"/>
  <c r="AJ62" i="1"/>
  <c r="AE62" i="1"/>
  <c r="Y62" i="1"/>
  <c r="U62" i="1"/>
  <c r="I62" i="1"/>
  <c r="H62" i="1"/>
  <c r="AG62" i="1" s="1"/>
  <c r="K62" i="1"/>
  <c r="E62" i="1"/>
  <c r="AS61" i="1"/>
  <c r="AR61" i="1"/>
  <c r="AT61" i="1" s="1"/>
  <c r="AO61" i="1"/>
  <c r="AN61" i="1"/>
  <c r="AM61" i="1"/>
  <c r="AL61" i="1"/>
  <c r="AK61" i="1"/>
  <c r="AJ61" i="1"/>
  <c r="AE61" i="1"/>
  <c r="Y61" i="1"/>
  <c r="U61" i="1"/>
  <c r="L61" i="1"/>
  <c r="I61" i="1"/>
  <c r="H61" i="1"/>
  <c r="AG61" i="1" s="1"/>
  <c r="K61" i="1"/>
  <c r="E61" i="1"/>
  <c r="AS60" i="1"/>
  <c r="AR60" i="1"/>
  <c r="AO60" i="1"/>
  <c r="AN60" i="1"/>
  <c r="AM60" i="1"/>
  <c r="AL60" i="1"/>
  <c r="AK60" i="1"/>
  <c r="AJ60" i="1"/>
  <c r="AE60" i="1"/>
  <c r="Y60" i="1"/>
  <c r="U60" i="1"/>
  <c r="L60" i="1"/>
  <c r="I60" i="1"/>
  <c r="H60" i="1"/>
  <c r="K60" i="1"/>
  <c r="E60" i="1"/>
  <c r="W60" i="1" s="1"/>
  <c r="Z60" i="1" s="1"/>
  <c r="AF60" i="1" s="1"/>
  <c r="AS59" i="1"/>
  <c r="AT59" i="1" s="1"/>
  <c r="AR59" i="1"/>
  <c r="AO59" i="1"/>
  <c r="AN59" i="1"/>
  <c r="AM59" i="1"/>
  <c r="AL59" i="1"/>
  <c r="AK59" i="1"/>
  <c r="AJ59" i="1"/>
  <c r="AE59" i="1"/>
  <c r="Y59" i="1"/>
  <c r="U59" i="1"/>
  <c r="L59" i="1"/>
  <c r="I59" i="1"/>
  <c r="H59" i="1"/>
  <c r="K59" i="1"/>
  <c r="E59" i="1"/>
  <c r="W59" i="1" s="1"/>
  <c r="Z59" i="1" s="1"/>
  <c r="AF59" i="1" s="1"/>
  <c r="AS58" i="1"/>
  <c r="AR58" i="1"/>
  <c r="AT58" i="1" s="1"/>
  <c r="AO58" i="1"/>
  <c r="AN58" i="1"/>
  <c r="AM58" i="1"/>
  <c r="AL58" i="1"/>
  <c r="AK58" i="1"/>
  <c r="AJ58" i="1"/>
  <c r="AE58" i="1"/>
  <c r="Y58" i="1"/>
  <c r="U58" i="1"/>
  <c r="L58" i="1"/>
  <c r="I58" i="1"/>
  <c r="H58" i="1"/>
  <c r="AG58" i="1" s="1"/>
  <c r="K58" i="1"/>
  <c r="E58" i="1"/>
  <c r="AS57" i="1"/>
  <c r="AR57" i="1"/>
  <c r="AT57" i="1" s="1"/>
  <c r="AO57" i="1"/>
  <c r="AN57" i="1"/>
  <c r="AM57" i="1"/>
  <c r="AL57" i="1"/>
  <c r="AK57" i="1"/>
  <c r="AJ57" i="1"/>
  <c r="AE57" i="1"/>
  <c r="Y57" i="1"/>
  <c r="U57" i="1"/>
  <c r="I57" i="1"/>
  <c r="H57" i="1"/>
  <c r="AG57" i="1" s="1"/>
  <c r="K57" i="1"/>
  <c r="E57" i="1"/>
  <c r="W57" i="1" s="1"/>
  <c r="AS56" i="1"/>
  <c r="AR56" i="1"/>
  <c r="AO56" i="1"/>
  <c r="AN56" i="1"/>
  <c r="AM56" i="1"/>
  <c r="AL56" i="1"/>
  <c r="AK56" i="1"/>
  <c r="AJ56" i="1"/>
  <c r="AE56" i="1"/>
  <c r="Y56" i="1"/>
  <c r="U56" i="1"/>
  <c r="I56" i="1"/>
  <c r="H56" i="1"/>
  <c r="K56" i="1"/>
  <c r="E56" i="1"/>
  <c r="W56" i="1" s="1"/>
  <c r="AS55" i="1"/>
  <c r="AT55" i="1" s="1"/>
  <c r="AR55" i="1"/>
  <c r="AO55" i="1"/>
  <c r="AN55" i="1"/>
  <c r="AM55" i="1"/>
  <c r="AL55" i="1"/>
  <c r="AK55" i="1"/>
  <c r="AJ55" i="1"/>
  <c r="AG55" i="1"/>
  <c r="AE55" i="1"/>
  <c r="Y55" i="1"/>
  <c r="U55" i="1"/>
  <c r="I55" i="1"/>
  <c r="H55" i="1"/>
  <c r="K55" i="1"/>
  <c r="E55" i="1"/>
  <c r="W55" i="1" s="1"/>
  <c r="Z55" i="1" s="1"/>
  <c r="AF55" i="1" s="1"/>
  <c r="AS54" i="1"/>
  <c r="AR54" i="1"/>
  <c r="AO54" i="1"/>
  <c r="AN54" i="1"/>
  <c r="AM54" i="1"/>
  <c r="AL54" i="1"/>
  <c r="AK54" i="1"/>
  <c r="AJ54" i="1"/>
  <c r="AE54" i="1"/>
  <c r="Y54" i="1"/>
  <c r="U54" i="1"/>
  <c r="I54" i="1"/>
  <c r="H54" i="1"/>
  <c r="AG54" i="1" s="1"/>
  <c r="K54" i="1"/>
  <c r="E54" i="1"/>
  <c r="W54" i="1" s="1"/>
  <c r="Z54" i="1" s="1"/>
  <c r="AF54" i="1" s="1"/>
  <c r="AS53" i="1"/>
  <c r="AR53" i="1"/>
  <c r="AT53" i="1" s="1"/>
  <c r="AO53" i="1"/>
  <c r="AN53" i="1"/>
  <c r="AM53" i="1"/>
  <c r="AL53" i="1"/>
  <c r="AK53" i="1"/>
  <c r="AJ53" i="1"/>
  <c r="AE53" i="1"/>
  <c r="Y53" i="1"/>
  <c r="U53" i="1"/>
  <c r="I53" i="1"/>
  <c r="H53" i="1"/>
  <c r="AG53" i="1" s="1"/>
  <c r="G52" i="1"/>
  <c r="E53" i="1"/>
  <c r="W53" i="1" s="1"/>
  <c r="AP52" i="1"/>
  <c r="AD52" i="1"/>
  <c r="AC52" i="1"/>
  <c r="AB52" i="1"/>
  <c r="AA52" i="1"/>
  <c r="X52" i="1"/>
  <c r="T52" i="1"/>
  <c r="S52" i="1"/>
  <c r="R52" i="1"/>
  <c r="Q52" i="1"/>
  <c r="O52" i="1"/>
  <c r="F52" i="1"/>
  <c r="D52" i="1"/>
  <c r="C52" i="1"/>
  <c r="AS51" i="1"/>
  <c r="AR51" i="1"/>
  <c r="AO51" i="1"/>
  <c r="AN51" i="1"/>
  <c r="AM51" i="1"/>
  <c r="AL51" i="1"/>
  <c r="AK51" i="1"/>
  <c r="AJ51" i="1"/>
  <c r="AE51" i="1"/>
  <c r="U51" i="1"/>
  <c r="I51" i="1"/>
  <c r="H51" i="1"/>
  <c r="AG51" i="1" s="1"/>
  <c r="K51" i="1"/>
  <c r="E51" i="1"/>
  <c r="AS50" i="1"/>
  <c r="AR50" i="1"/>
  <c r="AO50" i="1"/>
  <c r="AN50" i="1"/>
  <c r="AM50" i="1"/>
  <c r="AL50" i="1"/>
  <c r="AK50" i="1"/>
  <c r="AJ50" i="1"/>
  <c r="AE50" i="1"/>
  <c r="U50" i="1"/>
  <c r="I50" i="1"/>
  <c r="H50" i="1"/>
  <c r="AG50" i="1" s="1"/>
  <c r="K50" i="1"/>
  <c r="E50" i="1"/>
  <c r="Y50" i="1" s="1"/>
  <c r="AS49" i="1"/>
  <c r="AR49" i="1"/>
  <c r="AO49" i="1"/>
  <c r="AN49" i="1"/>
  <c r="AM49" i="1"/>
  <c r="AL49" i="1"/>
  <c r="AK49" i="1"/>
  <c r="AJ49" i="1"/>
  <c r="AE49" i="1"/>
  <c r="U49" i="1"/>
  <c r="I49" i="1"/>
  <c r="H49" i="1"/>
  <c r="AG49" i="1" s="1"/>
  <c r="K49" i="1"/>
  <c r="E49" i="1"/>
  <c r="AS48" i="1"/>
  <c r="AR48" i="1"/>
  <c r="AT48" i="1" s="1"/>
  <c r="AO48" i="1"/>
  <c r="AN48" i="1"/>
  <c r="AM48" i="1"/>
  <c r="AL48" i="1"/>
  <c r="AK48" i="1"/>
  <c r="AJ48" i="1"/>
  <c r="AE48" i="1"/>
  <c r="U48" i="1"/>
  <c r="I48" i="1"/>
  <c r="H48" i="1"/>
  <c r="AG48" i="1" s="1"/>
  <c r="K48" i="1"/>
  <c r="E48" i="1"/>
  <c r="Y48" i="1" s="1"/>
  <c r="AS47" i="1"/>
  <c r="AR47" i="1"/>
  <c r="AO47" i="1"/>
  <c r="AN47" i="1"/>
  <c r="AM47" i="1"/>
  <c r="AL47" i="1"/>
  <c r="AK47" i="1"/>
  <c r="AJ47" i="1"/>
  <c r="AE47" i="1"/>
  <c r="U47" i="1"/>
  <c r="I47" i="1"/>
  <c r="H47" i="1"/>
  <c r="AG47" i="1" s="1"/>
  <c r="K47" i="1"/>
  <c r="E47" i="1"/>
  <c r="AS46" i="1"/>
  <c r="AR46" i="1"/>
  <c r="AO46" i="1"/>
  <c r="AN46" i="1"/>
  <c r="AM46" i="1"/>
  <c r="AL46" i="1"/>
  <c r="AK46" i="1"/>
  <c r="AJ46" i="1"/>
  <c r="AE46" i="1"/>
  <c r="U46" i="1"/>
  <c r="I46" i="1"/>
  <c r="H46" i="1"/>
  <c r="AG46" i="1" s="1"/>
  <c r="K46" i="1"/>
  <c r="E46" i="1"/>
  <c r="Y46" i="1" s="1"/>
  <c r="AS45" i="1"/>
  <c r="AR45" i="1"/>
  <c r="AO45" i="1"/>
  <c r="AN45" i="1"/>
  <c r="AM45" i="1"/>
  <c r="AL45" i="1"/>
  <c r="AK45" i="1"/>
  <c r="AJ45" i="1"/>
  <c r="AE45" i="1"/>
  <c r="U45" i="1"/>
  <c r="I45" i="1"/>
  <c r="H45" i="1"/>
  <c r="AG45" i="1" s="1"/>
  <c r="K45" i="1"/>
  <c r="E45" i="1"/>
  <c r="AS44" i="1"/>
  <c r="AR44" i="1"/>
  <c r="AO44" i="1"/>
  <c r="AN44" i="1"/>
  <c r="AM44" i="1"/>
  <c r="AL44" i="1"/>
  <c r="AK44" i="1"/>
  <c r="AJ44" i="1"/>
  <c r="AE44" i="1"/>
  <c r="U44" i="1"/>
  <c r="I44" i="1"/>
  <c r="H44" i="1"/>
  <c r="AG44" i="1" s="1"/>
  <c r="K44" i="1"/>
  <c r="E44" i="1"/>
  <c r="Y44" i="1" s="1"/>
  <c r="AS43" i="1"/>
  <c r="AR43" i="1"/>
  <c r="AO43" i="1"/>
  <c r="AN43" i="1"/>
  <c r="AM43" i="1"/>
  <c r="AL43" i="1"/>
  <c r="AK43" i="1"/>
  <c r="AJ43" i="1"/>
  <c r="AE43" i="1"/>
  <c r="U43" i="1"/>
  <c r="I43" i="1"/>
  <c r="H43" i="1"/>
  <c r="AG43" i="1" s="1"/>
  <c r="K43" i="1"/>
  <c r="E43" i="1"/>
  <c r="AS42" i="1"/>
  <c r="AR42" i="1"/>
  <c r="AO42" i="1"/>
  <c r="AN42" i="1"/>
  <c r="AM42" i="1"/>
  <c r="AL42" i="1"/>
  <c r="AK42" i="1"/>
  <c r="AJ42" i="1"/>
  <c r="AE42" i="1"/>
  <c r="U42" i="1"/>
  <c r="I42" i="1"/>
  <c r="H42" i="1"/>
  <c r="AG42" i="1" s="1"/>
  <c r="K42" i="1"/>
  <c r="E42" i="1"/>
  <c r="Y42" i="1" s="1"/>
  <c r="AS41" i="1"/>
  <c r="AR41" i="1"/>
  <c r="AO41" i="1"/>
  <c r="AN41" i="1"/>
  <c r="AM41" i="1"/>
  <c r="AL41" i="1"/>
  <c r="AK41" i="1"/>
  <c r="AJ41" i="1"/>
  <c r="AE41" i="1"/>
  <c r="U41" i="1"/>
  <c r="I41" i="1"/>
  <c r="H41" i="1"/>
  <c r="AG41" i="1" s="1"/>
  <c r="K41" i="1"/>
  <c r="E41" i="1"/>
  <c r="AS40" i="1"/>
  <c r="AR40" i="1"/>
  <c r="AO40" i="1"/>
  <c r="AN40" i="1"/>
  <c r="AM40" i="1"/>
  <c r="AL40" i="1"/>
  <c r="AK40" i="1"/>
  <c r="AJ40" i="1"/>
  <c r="AE40" i="1"/>
  <c r="U40" i="1"/>
  <c r="I40" i="1"/>
  <c r="H40" i="1"/>
  <c r="AG40" i="1" s="1"/>
  <c r="K40" i="1"/>
  <c r="E40" i="1"/>
  <c r="Y40" i="1" s="1"/>
  <c r="AS39" i="1"/>
  <c r="AR39" i="1"/>
  <c r="AO39" i="1"/>
  <c r="AN39" i="1"/>
  <c r="AM39" i="1"/>
  <c r="AL39" i="1"/>
  <c r="AK39" i="1"/>
  <c r="AJ39" i="1"/>
  <c r="AE39" i="1"/>
  <c r="U39" i="1"/>
  <c r="I39" i="1"/>
  <c r="H39" i="1"/>
  <c r="AG39" i="1" s="1"/>
  <c r="K39" i="1"/>
  <c r="E39" i="1"/>
  <c r="AS38" i="1"/>
  <c r="AR38" i="1"/>
  <c r="AO38" i="1"/>
  <c r="AN38" i="1"/>
  <c r="AM38" i="1"/>
  <c r="AL38" i="1"/>
  <c r="AK38" i="1"/>
  <c r="AJ38" i="1"/>
  <c r="AE38" i="1"/>
  <c r="U38" i="1"/>
  <c r="I38" i="1"/>
  <c r="H38" i="1"/>
  <c r="K38" i="1"/>
  <c r="E38" i="1"/>
  <c r="Y38" i="1" s="1"/>
  <c r="AS37" i="1"/>
  <c r="AT37" i="1" s="1"/>
  <c r="AR37" i="1"/>
  <c r="AO37" i="1"/>
  <c r="AN37" i="1"/>
  <c r="AM37" i="1"/>
  <c r="AL37" i="1"/>
  <c r="AK37" i="1"/>
  <c r="AJ37" i="1"/>
  <c r="AE37" i="1"/>
  <c r="U37" i="1"/>
  <c r="I37" i="1"/>
  <c r="H37" i="1"/>
  <c r="AG37" i="1" s="1"/>
  <c r="K37" i="1"/>
  <c r="E37" i="1"/>
  <c r="AS36" i="1"/>
  <c r="AR36" i="1"/>
  <c r="AT36" i="1" s="1"/>
  <c r="AO36" i="1"/>
  <c r="AN36" i="1"/>
  <c r="AM36" i="1"/>
  <c r="AL36" i="1"/>
  <c r="AK36" i="1"/>
  <c r="AJ36" i="1"/>
  <c r="AE36" i="1"/>
  <c r="U36" i="1"/>
  <c r="I36" i="1"/>
  <c r="H36" i="1"/>
  <c r="K36" i="1"/>
  <c r="E36" i="1"/>
  <c r="Y36" i="1" s="1"/>
  <c r="AS35" i="1"/>
  <c r="AT35" i="1" s="1"/>
  <c r="AR35" i="1"/>
  <c r="AO35" i="1"/>
  <c r="AN35" i="1"/>
  <c r="AM35" i="1"/>
  <c r="AL35" i="1"/>
  <c r="AK35" i="1"/>
  <c r="AJ35" i="1"/>
  <c r="AE35" i="1"/>
  <c r="U35" i="1"/>
  <c r="I35" i="1"/>
  <c r="H35" i="1"/>
  <c r="AG35" i="1" s="1"/>
  <c r="K35" i="1"/>
  <c r="E35" i="1"/>
  <c r="AS34" i="1"/>
  <c r="AR34" i="1"/>
  <c r="AO34" i="1"/>
  <c r="AN34" i="1"/>
  <c r="AM34" i="1"/>
  <c r="AL34" i="1"/>
  <c r="AK34" i="1"/>
  <c r="AJ34" i="1"/>
  <c r="AE34" i="1"/>
  <c r="W34" i="1"/>
  <c r="Z34" i="1" s="1"/>
  <c r="U34" i="1"/>
  <c r="I34" i="1"/>
  <c r="H34" i="1"/>
  <c r="AG34" i="1" s="1"/>
  <c r="K34" i="1"/>
  <c r="E34" i="1"/>
  <c r="Y34" i="1" s="1"/>
  <c r="AS33" i="1"/>
  <c r="AR33" i="1"/>
  <c r="AO33" i="1"/>
  <c r="AN33" i="1"/>
  <c r="AM33" i="1"/>
  <c r="AL33" i="1"/>
  <c r="AK33" i="1"/>
  <c r="AJ33" i="1"/>
  <c r="AE33" i="1"/>
  <c r="U33" i="1"/>
  <c r="I33" i="1"/>
  <c r="H33" i="1"/>
  <c r="AG33" i="1" s="1"/>
  <c r="K33" i="1"/>
  <c r="E33" i="1"/>
  <c r="AS32" i="1"/>
  <c r="AR32" i="1"/>
  <c r="AT32" i="1" s="1"/>
  <c r="AO32" i="1"/>
  <c r="AN32" i="1"/>
  <c r="AM32" i="1"/>
  <c r="AM29" i="1" s="1"/>
  <c r="AL32" i="1"/>
  <c r="AK32" i="1"/>
  <c r="AJ32" i="1"/>
  <c r="AE32" i="1"/>
  <c r="U32" i="1"/>
  <c r="I32" i="1"/>
  <c r="I29" i="1" s="1"/>
  <c r="H32" i="1"/>
  <c r="AG32" i="1" s="1"/>
  <c r="K32" i="1"/>
  <c r="E32" i="1"/>
  <c r="AS31" i="1"/>
  <c r="AT31" i="1" s="1"/>
  <c r="AR31" i="1"/>
  <c r="AO31" i="1"/>
  <c r="AN31" i="1"/>
  <c r="AM31" i="1"/>
  <c r="AL31" i="1"/>
  <c r="AK31" i="1"/>
  <c r="AJ31" i="1"/>
  <c r="AE31" i="1"/>
  <c r="U31" i="1"/>
  <c r="I31" i="1"/>
  <c r="H31" i="1"/>
  <c r="AG31" i="1" s="1"/>
  <c r="K31" i="1"/>
  <c r="E31" i="1"/>
  <c r="AS30" i="1"/>
  <c r="AS29" i="1" s="1"/>
  <c r="AR30" i="1"/>
  <c r="AR29" i="1" s="1"/>
  <c r="AO30" i="1"/>
  <c r="AN30" i="1"/>
  <c r="AM30" i="1"/>
  <c r="AL30" i="1"/>
  <c r="AK30" i="1"/>
  <c r="AK29" i="1" s="1"/>
  <c r="AJ30" i="1"/>
  <c r="AE30" i="1"/>
  <c r="U30" i="1"/>
  <c r="I30" i="1"/>
  <c r="H30" i="1"/>
  <c r="AG30" i="1" s="1"/>
  <c r="K30" i="1"/>
  <c r="E30" i="1"/>
  <c r="Y30" i="1" s="1"/>
  <c r="AP29" i="1"/>
  <c r="AD29" i="1"/>
  <c r="AC29" i="1"/>
  <c r="AB29" i="1"/>
  <c r="AA29" i="1"/>
  <c r="X29" i="1"/>
  <c r="T29" i="1"/>
  <c r="S29" i="1"/>
  <c r="R29" i="1"/>
  <c r="Q29" i="1"/>
  <c r="O29" i="1"/>
  <c r="L29" i="1"/>
  <c r="F29" i="1"/>
  <c r="D29" i="1"/>
  <c r="C29" i="1"/>
  <c r="AS28" i="1"/>
  <c r="AR28" i="1"/>
  <c r="AT28" i="1" s="1"/>
  <c r="AO28" i="1"/>
  <c r="AN28" i="1"/>
  <c r="AM28" i="1"/>
  <c r="AL28" i="1"/>
  <c r="AK28" i="1"/>
  <c r="AJ28" i="1"/>
  <c r="AF28" i="1"/>
  <c r="AE28" i="1"/>
  <c r="Y28" i="1"/>
  <c r="U28" i="1"/>
  <c r="K28" i="1"/>
  <c r="I28" i="1"/>
  <c r="H28" i="1"/>
  <c r="AG28" i="1" s="1"/>
  <c r="E28" i="1"/>
  <c r="AT27" i="1"/>
  <c r="AS27" i="1"/>
  <c r="AR27" i="1"/>
  <c r="AO27" i="1"/>
  <c r="AN27" i="1"/>
  <c r="AM27" i="1"/>
  <c r="AL27" i="1"/>
  <c r="AK27" i="1"/>
  <c r="AK24" i="1" s="1"/>
  <c r="AJ27" i="1"/>
  <c r="AF27" i="1"/>
  <c r="AE27" i="1"/>
  <c r="Y27" i="1"/>
  <c r="U27" i="1"/>
  <c r="I27" i="1"/>
  <c r="H27" i="1"/>
  <c r="AG27" i="1" s="1"/>
  <c r="E27" i="1"/>
  <c r="AS26" i="1"/>
  <c r="AR26" i="1"/>
  <c r="AT26" i="1" s="1"/>
  <c r="AO26" i="1"/>
  <c r="AN26" i="1"/>
  <c r="AM26" i="1"/>
  <c r="AL26" i="1"/>
  <c r="AK26" i="1"/>
  <c r="AJ26" i="1"/>
  <c r="AE26" i="1"/>
  <c r="Y26" i="1"/>
  <c r="U26" i="1"/>
  <c r="I26" i="1"/>
  <c r="H26" i="1"/>
  <c r="K26" i="1"/>
  <c r="E26" i="1"/>
  <c r="AS25" i="1"/>
  <c r="AT25" i="1" s="1"/>
  <c r="AR25" i="1"/>
  <c r="AO25" i="1"/>
  <c r="AN25" i="1"/>
  <c r="AN24" i="1" s="1"/>
  <c r="AM25" i="1"/>
  <c r="AL25" i="1"/>
  <c r="AK25" i="1"/>
  <c r="AJ25" i="1"/>
  <c r="AE25" i="1"/>
  <c r="Y25" i="1"/>
  <c r="U25" i="1"/>
  <c r="U24" i="1" s="1"/>
  <c r="I25" i="1"/>
  <c r="H25" i="1"/>
  <c r="AG25" i="1" s="1"/>
  <c r="E25" i="1"/>
  <c r="AP24" i="1"/>
  <c r="AO24" i="1"/>
  <c r="AD24" i="1"/>
  <c r="AC24" i="1"/>
  <c r="AB24" i="1"/>
  <c r="AA24" i="1"/>
  <c r="X24" i="1"/>
  <c r="T24" i="1"/>
  <c r="S24" i="1"/>
  <c r="R24" i="1"/>
  <c r="Q24" i="1"/>
  <c r="O24" i="1"/>
  <c r="L24" i="1"/>
  <c r="I24" i="1"/>
  <c r="F24" i="1"/>
  <c r="D24" i="1"/>
  <c r="C24" i="1"/>
  <c r="AS23" i="1"/>
  <c r="AR23" i="1"/>
  <c r="AO23" i="1"/>
  <c r="AN23" i="1"/>
  <c r="AM23" i="1"/>
  <c r="AL23" i="1"/>
  <c r="AK23" i="1"/>
  <c r="AJ23" i="1"/>
  <c r="AE23" i="1"/>
  <c r="Y23" i="1"/>
  <c r="U23" i="1"/>
  <c r="I23" i="1"/>
  <c r="H23" i="1"/>
  <c r="AG23" i="1" s="1"/>
  <c r="E23" i="1"/>
  <c r="AS22" i="1"/>
  <c r="AR22" i="1"/>
  <c r="AO22" i="1"/>
  <c r="AN22" i="1"/>
  <c r="AM22" i="1"/>
  <c r="AL22" i="1"/>
  <c r="AK22" i="1"/>
  <c r="AJ22" i="1"/>
  <c r="AE22" i="1"/>
  <c r="Y22" i="1"/>
  <c r="U22" i="1"/>
  <c r="I22" i="1"/>
  <c r="H22" i="1"/>
  <c r="K22" i="1"/>
  <c r="E22" i="1"/>
  <c r="AS21" i="1"/>
  <c r="AT21" i="1" s="1"/>
  <c r="AR21" i="1"/>
  <c r="AO21" i="1"/>
  <c r="AN21" i="1"/>
  <c r="AM21" i="1"/>
  <c r="AL21" i="1"/>
  <c r="AK21" i="1"/>
  <c r="AJ21" i="1"/>
  <c r="AE21" i="1"/>
  <c r="Y21" i="1"/>
  <c r="U21" i="1"/>
  <c r="I21" i="1"/>
  <c r="H21" i="1"/>
  <c r="AG21" i="1" s="1"/>
  <c r="E21" i="1"/>
  <c r="AS20" i="1"/>
  <c r="AR20" i="1"/>
  <c r="AO20" i="1"/>
  <c r="AN20" i="1"/>
  <c r="AM20" i="1"/>
  <c r="AL20" i="1"/>
  <c r="AK20" i="1"/>
  <c r="AJ20" i="1"/>
  <c r="AE20" i="1"/>
  <c r="Y20" i="1"/>
  <c r="U20" i="1"/>
  <c r="I20" i="1"/>
  <c r="H20" i="1"/>
  <c r="K20" i="1"/>
  <c r="E20" i="1"/>
  <c r="AS19" i="1"/>
  <c r="AR19" i="1"/>
  <c r="AO19" i="1"/>
  <c r="AN19" i="1"/>
  <c r="AM19" i="1"/>
  <c r="AL19" i="1"/>
  <c r="AK19" i="1"/>
  <c r="AJ19" i="1"/>
  <c r="AE19" i="1"/>
  <c r="Y19" i="1"/>
  <c r="U19" i="1"/>
  <c r="I19" i="1"/>
  <c r="H19" i="1"/>
  <c r="AG19" i="1" s="1"/>
  <c r="E19" i="1"/>
  <c r="AS18" i="1"/>
  <c r="AR18" i="1"/>
  <c r="AO18" i="1"/>
  <c r="AN18" i="1"/>
  <c r="AM18" i="1"/>
  <c r="AM15" i="1" s="1"/>
  <c r="AL18" i="1"/>
  <c r="AK18" i="1"/>
  <c r="AJ18" i="1"/>
  <c r="AE18" i="1"/>
  <c r="Y18" i="1"/>
  <c r="U18" i="1"/>
  <c r="I18" i="1"/>
  <c r="H18" i="1"/>
  <c r="K18" i="1"/>
  <c r="E18" i="1"/>
  <c r="AS17" i="1"/>
  <c r="AR17" i="1"/>
  <c r="AO17" i="1"/>
  <c r="AN17" i="1"/>
  <c r="AM17" i="1"/>
  <c r="AL17" i="1"/>
  <c r="AK17" i="1"/>
  <c r="AJ17" i="1"/>
  <c r="AJ15" i="1" s="1"/>
  <c r="AE17" i="1"/>
  <c r="U17" i="1"/>
  <c r="I17" i="1"/>
  <c r="H17" i="1"/>
  <c r="F17" i="1"/>
  <c r="E17" i="1"/>
  <c r="AS16" i="1"/>
  <c r="AR16" i="1"/>
  <c r="AO16" i="1"/>
  <c r="AN16" i="1"/>
  <c r="AM16" i="1"/>
  <c r="AL16" i="1"/>
  <c r="AK16" i="1"/>
  <c r="AJ16" i="1"/>
  <c r="AE16" i="1"/>
  <c r="AE15" i="1" s="1"/>
  <c r="U16" i="1"/>
  <c r="I16" i="1"/>
  <c r="H16" i="1"/>
  <c r="F16" i="1"/>
  <c r="K16" i="1" s="1"/>
  <c r="E16" i="1"/>
  <c r="AP15" i="1"/>
  <c r="AD15" i="1"/>
  <c r="AC15" i="1"/>
  <c r="AB15" i="1"/>
  <c r="AA15" i="1"/>
  <c r="X15" i="1"/>
  <c r="T15" i="1"/>
  <c r="S15" i="1"/>
  <c r="R15" i="1"/>
  <c r="Q15" i="1"/>
  <c r="O15" i="1"/>
  <c r="L15" i="1"/>
  <c r="D15" i="1"/>
  <c r="C15" i="1"/>
  <c r="AN29" i="1" l="1"/>
  <c r="AS52" i="1"/>
  <c r="AT71" i="1"/>
  <c r="L52" i="1"/>
  <c r="AT95" i="1"/>
  <c r="AT104" i="1"/>
  <c r="AT107" i="1"/>
  <c r="AE15" i="2"/>
  <c r="AT30" i="2"/>
  <c r="AE29" i="2"/>
  <c r="AT48" i="2"/>
  <c r="AS19" i="3"/>
  <c r="U29" i="3"/>
  <c r="AS24" i="1"/>
  <c r="AJ29" i="1"/>
  <c r="AT45" i="1"/>
  <c r="AO29" i="1"/>
  <c r="AT51" i="1"/>
  <c r="AK52" i="1"/>
  <c r="Z57" i="1"/>
  <c r="AF57" i="1" s="1"/>
  <c r="AT20" i="1"/>
  <c r="AJ24" i="1"/>
  <c r="AR24" i="1"/>
  <c r="E24" i="1"/>
  <c r="AT40" i="1"/>
  <c r="AT46" i="1"/>
  <c r="AT49" i="1"/>
  <c r="Z69" i="1"/>
  <c r="AT86" i="1"/>
  <c r="U52" i="2"/>
  <c r="Z83" i="2"/>
  <c r="AF83" i="2" s="1"/>
  <c r="U29" i="1"/>
  <c r="U52" i="1"/>
  <c r="Y52" i="1"/>
  <c r="AO52" i="1"/>
  <c r="AT81" i="1"/>
  <c r="U15" i="2"/>
  <c r="AF63" i="2"/>
  <c r="AI16" i="1"/>
  <c r="AT16" i="1"/>
  <c r="AN15" i="1"/>
  <c r="AT23" i="1"/>
  <c r="Y24" i="1"/>
  <c r="J28" i="1"/>
  <c r="W28" i="1" s="1"/>
  <c r="Z28" i="1" s="1"/>
  <c r="AE29" i="1"/>
  <c r="AT38" i="1"/>
  <c r="AT44" i="1"/>
  <c r="AT50" i="1"/>
  <c r="E52" i="1"/>
  <c r="AT60" i="1"/>
  <c r="AT64" i="1"/>
  <c r="AT74" i="1"/>
  <c r="AT79" i="1"/>
  <c r="AT99" i="1"/>
  <c r="AT106" i="1"/>
  <c r="AT47" i="2"/>
  <c r="V110" i="3"/>
  <c r="V111" i="3" s="1"/>
  <c r="H83" i="3"/>
  <c r="I83" i="3"/>
  <c r="E83" i="3"/>
  <c r="Y83" i="3"/>
  <c r="AM83" i="3"/>
  <c r="I81" i="3"/>
  <c r="H81" i="3"/>
  <c r="H79" i="3"/>
  <c r="AG79" i="3" s="1"/>
  <c r="I79" i="3"/>
  <c r="H63" i="3"/>
  <c r="I63" i="3"/>
  <c r="K83" i="3"/>
  <c r="AO83" i="3"/>
  <c r="Y69" i="3"/>
  <c r="I69" i="3"/>
  <c r="H69" i="3"/>
  <c r="I53" i="3"/>
  <c r="H53" i="3"/>
  <c r="H75" i="3"/>
  <c r="AG75" i="3" s="1"/>
  <c r="I75" i="3"/>
  <c r="H59" i="3"/>
  <c r="I59" i="3"/>
  <c r="I77" i="3"/>
  <c r="H77" i="3"/>
  <c r="L61" i="3"/>
  <c r="I61" i="3"/>
  <c r="H61" i="3"/>
  <c r="H67" i="3"/>
  <c r="I67" i="3"/>
  <c r="AT59" i="2"/>
  <c r="Z68" i="2"/>
  <c r="AF68" i="2" s="1"/>
  <c r="AG83" i="3"/>
  <c r="AK83" i="3"/>
  <c r="AR83" i="3"/>
  <c r="AT83" i="3" s="1"/>
  <c r="AM73" i="3"/>
  <c r="I73" i="3"/>
  <c r="H73" i="3"/>
  <c r="AL57" i="3"/>
  <c r="I57" i="3"/>
  <c r="H57" i="3"/>
  <c r="H71" i="3"/>
  <c r="I71" i="3"/>
  <c r="H55" i="3"/>
  <c r="I55" i="3"/>
  <c r="AT25" i="2"/>
  <c r="AS39" i="2"/>
  <c r="AO39" i="2"/>
  <c r="AR39" i="2"/>
  <c r="U15" i="1"/>
  <c r="Y32" i="1"/>
  <c r="W32" i="1"/>
  <c r="AT56" i="1"/>
  <c r="AR52" i="1"/>
  <c r="AK15" i="1"/>
  <c r="AO15" i="1"/>
  <c r="AT18" i="1"/>
  <c r="AT22" i="1"/>
  <c r="E29" i="1"/>
  <c r="AH34" i="1"/>
  <c r="AF34" i="1"/>
  <c r="AG56" i="1"/>
  <c r="H52" i="1"/>
  <c r="AK84" i="1"/>
  <c r="AO84" i="1"/>
  <c r="U84" i="1"/>
  <c r="AE52" i="2"/>
  <c r="AL84" i="1"/>
  <c r="W97" i="1"/>
  <c r="Z97" i="1" s="1"/>
  <c r="AF97" i="1" s="1"/>
  <c r="E84" i="1"/>
  <c r="AR15" i="1"/>
  <c r="AL24" i="1"/>
  <c r="AE52" i="1"/>
  <c r="AM52" i="1"/>
  <c r="AT19" i="1"/>
  <c r="H24" i="1"/>
  <c r="AE24" i="1"/>
  <c r="AM24" i="1"/>
  <c r="H29" i="1"/>
  <c r="W30" i="1"/>
  <c r="AL29" i="1"/>
  <c r="AT30" i="1"/>
  <c r="AJ52" i="1"/>
  <c r="AN52" i="1"/>
  <c r="I52" i="1"/>
  <c r="Z56" i="1"/>
  <c r="AF56" i="1" s="1"/>
  <c r="AT85" i="1"/>
  <c r="AS84" i="1"/>
  <c r="U24" i="3"/>
  <c r="AH32" i="1"/>
  <c r="AT33" i="1"/>
  <c r="AT41" i="1"/>
  <c r="AL52" i="1"/>
  <c r="AF69" i="1"/>
  <c r="AT72" i="1"/>
  <c r="AT76" i="1"/>
  <c r="AT77" i="1"/>
  <c r="AM84" i="1"/>
  <c r="AT88" i="1"/>
  <c r="AI90" i="1"/>
  <c r="AH93" i="1"/>
  <c r="U15" i="3"/>
  <c r="AE24" i="3"/>
  <c r="Y81" i="3"/>
  <c r="E81" i="3"/>
  <c r="AM77" i="3"/>
  <c r="Y77" i="3"/>
  <c r="AH36" i="1"/>
  <c r="W36" i="1"/>
  <c r="Z36" i="1" s="1"/>
  <c r="AT42" i="1"/>
  <c r="AT43" i="1"/>
  <c r="AT54" i="1"/>
  <c r="AT65" i="1"/>
  <c r="Z73" i="1"/>
  <c r="AF73" i="1" s="1"/>
  <c r="Z75" i="1"/>
  <c r="AF75" i="1" s="1"/>
  <c r="AJ84" i="1"/>
  <c r="AJ108" i="1" s="1"/>
  <c r="AJ112" i="1" s="1"/>
  <c r="AN84" i="1"/>
  <c r="Z88" i="1"/>
  <c r="AF88" i="1" s="1"/>
  <c r="Z89" i="1"/>
  <c r="AF89" i="1" s="1"/>
  <c r="Z90" i="1"/>
  <c r="AF90" i="1" s="1"/>
  <c r="Z92" i="1"/>
  <c r="AF92" i="1" s="1"/>
  <c r="AT102" i="1"/>
  <c r="AT103" i="1"/>
  <c r="U24" i="2"/>
  <c r="AE24" i="2"/>
  <c r="AT39" i="2"/>
  <c r="AF56" i="2"/>
  <c r="AT60" i="2"/>
  <c r="AT76" i="2"/>
  <c r="AE84" i="2"/>
  <c r="AE52" i="3"/>
  <c r="AE84" i="3"/>
  <c r="AT39" i="1"/>
  <c r="AT47" i="1"/>
  <c r="AH54" i="1"/>
  <c r="AT62" i="1"/>
  <c r="AT68" i="1"/>
  <c r="L84" i="1"/>
  <c r="AE84" i="1"/>
  <c r="K17" i="2"/>
  <c r="AT40" i="2"/>
  <c r="AF110" i="2"/>
  <c r="AF111" i="2" s="1"/>
  <c r="AT85" i="2"/>
  <c r="U84" i="3"/>
  <c r="AO27" i="3"/>
  <c r="G27" i="3"/>
  <c r="AM27" i="3"/>
  <c r="I25" i="2"/>
  <c r="G25" i="2"/>
  <c r="AS104" i="2"/>
  <c r="I104" i="2"/>
  <c r="AS100" i="2"/>
  <c r="I100" i="2"/>
  <c r="AS96" i="2"/>
  <c r="I96" i="2"/>
  <c r="AS92" i="2"/>
  <c r="I92" i="2"/>
  <c r="AR88" i="2"/>
  <c r="AT88" i="2" s="1"/>
  <c r="I88" i="2"/>
  <c r="AM23" i="3"/>
  <c r="G23" i="3"/>
  <c r="K23" i="3" s="1"/>
  <c r="AM19" i="3"/>
  <c r="G19" i="3"/>
  <c r="K19" i="3" s="1"/>
  <c r="D51" i="3"/>
  <c r="D47" i="3"/>
  <c r="AR47" i="3" s="1"/>
  <c r="D43" i="3"/>
  <c r="D39" i="3"/>
  <c r="D35" i="3"/>
  <c r="D31" i="3"/>
  <c r="H31" i="3" s="1"/>
  <c r="AG31" i="3" s="1"/>
  <c r="D65" i="3"/>
  <c r="AN65" i="3" s="1"/>
  <c r="D85" i="3"/>
  <c r="D104" i="3"/>
  <c r="D100" i="3"/>
  <c r="D96" i="3"/>
  <c r="D92" i="3"/>
  <c r="D88" i="3"/>
  <c r="AM88" i="3" s="1"/>
  <c r="AS28" i="2"/>
  <c r="I28" i="2"/>
  <c r="G28" i="2"/>
  <c r="AJ50" i="2"/>
  <c r="I50" i="2"/>
  <c r="AO46" i="2"/>
  <c r="I46" i="2"/>
  <c r="AN42" i="2"/>
  <c r="I42" i="2"/>
  <c r="AN38" i="2"/>
  <c r="I38" i="2"/>
  <c r="AM34" i="2"/>
  <c r="I34" i="2"/>
  <c r="I22" i="3"/>
  <c r="G22" i="3"/>
  <c r="K22" i="3" s="1"/>
  <c r="D50" i="3"/>
  <c r="D46" i="3"/>
  <c r="AR46" i="3" s="1"/>
  <c r="D42" i="3"/>
  <c r="AO42" i="3" s="1"/>
  <c r="D38" i="3"/>
  <c r="D34" i="3"/>
  <c r="K34" i="3" s="1"/>
  <c r="D80" i="3"/>
  <c r="D76" i="3"/>
  <c r="D72" i="3"/>
  <c r="D68" i="3"/>
  <c r="D64" i="3"/>
  <c r="D60" i="3"/>
  <c r="D56" i="3"/>
  <c r="D107" i="3"/>
  <c r="D103" i="3"/>
  <c r="D99" i="3"/>
  <c r="D95" i="3"/>
  <c r="D91" i="3"/>
  <c r="AL91" i="3" s="1"/>
  <c r="D87" i="3"/>
  <c r="I27" i="2"/>
  <c r="G27" i="2"/>
  <c r="AO82" i="2"/>
  <c r="I82" i="2"/>
  <c r="AM78" i="2"/>
  <c r="I78" i="2"/>
  <c r="AR74" i="2"/>
  <c r="AT74" i="2" s="1"/>
  <c r="I74" i="2"/>
  <c r="AN70" i="2"/>
  <c r="I70" i="2"/>
  <c r="AO66" i="2"/>
  <c r="I66" i="2"/>
  <c r="AR62" i="2"/>
  <c r="I62" i="2"/>
  <c r="AN58" i="2"/>
  <c r="I58" i="2"/>
  <c r="AS54" i="2"/>
  <c r="I54" i="2"/>
  <c r="AS49" i="2"/>
  <c r="I49" i="2"/>
  <c r="AR45" i="2"/>
  <c r="I45" i="2"/>
  <c r="AR41" i="2"/>
  <c r="AT41" i="2" s="1"/>
  <c r="I41" i="2"/>
  <c r="AN37" i="2"/>
  <c r="I37" i="2"/>
  <c r="AO33" i="2"/>
  <c r="I33" i="2"/>
  <c r="D49" i="3"/>
  <c r="D45" i="3"/>
  <c r="D41" i="3"/>
  <c r="AM41" i="3" s="1"/>
  <c r="D37" i="3"/>
  <c r="AM37" i="3" s="1"/>
  <c r="D33" i="3"/>
  <c r="D106" i="3"/>
  <c r="D102" i="3"/>
  <c r="AK102" i="3" s="1"/>
  <c r="D98" i="3"/>
  <c r="D94" i="3"/>
  <c r="D90" i="3"/>
  <c r="D86" i="3"/>
  <c r="AF110" i="3"/>
  <c r="AF111" i="3" s="1"/>
  <c r="AK21" i="3"/>
  <c r="I26" i="2"/>
  <c r="G26" i="2"/>
  <c r="K26" i="2" s="1"/>
  <c r="AN81" i="2"/>
  <c r="I81" i="2"/>
  <c r="AN77" i="2"/>
  <c r="I77" i="2"/>
  <c r="AN73" i="2"/>
  <c r="I73" i="2"/>
  <c r="Y69" i="2"/>
  <c r="I69" i="2"/>
  <c r="AR61" i="2"/>
  <c r="I61" i="2"/>
  <c r="AN57" i="2"/>
  <c r="I57" i="2"/>
  <c r="AR53" i="2"/>
  <c r="AT53" i="2" s="1"/>
  <c r="I53" i="2"/>
  <c r="Y105" i="2"/>
  <c r="I105" i="2"/>
  <c r="AN101" i="2"/>
  <c r="I101" i="2"/>
  <c r="AO97" i="2"/>
  <c r="I97" i="2"/>
  <c r="AN93" i="2"/>
  <c r="I93" i="2"/>
  <c r="AO89" i="2"/>
  <c r="I89" i="2"/>
  <c r="D28" i="3"/>
  <c r="AM28" i="3" s="1"/>
  <c r="D30" i="3"/>
  <c r="D48" i="3"/>
  <c r="D44" i="3"/>
  <c r="D40" i="3"/>
  <c r="D36" i="3"/>
  <c r="D32" i="3"/>
  <c r="AS32" i="3" s="1"/>
  <c r="D82" i="3"/>
  <c r="D78" i="3"/>
  <c r="D74" i="3"/>
  <c r="D70" i="3"/>
  <c r="D66" i="3"/>
  <c r="D62" i="3"/>
  <c r="K62" i="3" s="1"/>
  <c r="D58" i="3"/>
  <c r="D54" i="3"/>
  <c r="D105" i="3"/>
  <c r="D101" i="3"/>
  <c r="AS101" i="3" s="1"/>
  <c r="D97" i="3"/>
  <c r="D93" i="3"/>
  <c r="AR93" i="3" s="1"/>
  <c r="D89" i="3"/>
  <c r="Y89" i="3" s="1"/>
  <c r="D52" i="2"/>
  <c r="AH56" i="1"/>
  <c r="AH26" i="1"/>
  <c r="AI26" i="1"/>
  <c r="AI28" i="1"/>
  <c r="AH97" i="1"/>
  <c r="AH94" i="1"/>
  <c r="AQ94" i="1" s="1"/>
  <c r="AH71" i="1"/>
  <c r="AI72" i="1"/>
  <c r="AI45" i="1"/>
  <c r="AI51" i="1"/>
  <c r="AI36" i="1"/>
  <c r="H19" i="3"/>
  <c r="AG19" i="3" s="1"/>
  <c r="AK19" i="3"/>
  <c r="AR19" i="3"/>
  <c r="AT19" i="3" s="1"/>
  <c r="H23" i="3"/>
  <c r="AG23" i="3" s="1"/>
  <c r="AK23" i="3"/>
  <c r="AR23" i="3"/>
  <c r="AL19" i="3"/>
  <c r="AS23" i="3"/>
  <c r="AL23" i="3"/>
  <c r="Y19" i="3"/>
  <c r="E23" i="3"/>
  <c r="Y23" i="3"/>
  <c r="AL27" i="3"/>
  <c r="AT21" i="2"/>
  <c r="I15" i="1"/>
  <c r="AN16" i="2"/>
  <c r="D16" i="3"/>
  <c r="G16" i="3" s="1"/>
  <c r="K16" i="3" s="1"/>
  <c r="D18" i="3"/>
  <c r="H18" i="2"/>
  <c r="AG18" i="2" s="1"/>
  <c r="AM18" i="2"/>
  <c r="AS18" i="2"/>
  <c r="AT18" i="2" s="1"/>
  <c r="H15" i="1"/>
  <c r="AJ18" i="2"/>
  <c r="AN18" i="2"/>
  <c r="E18" i="2"/>
  <c r="AK18" i="2"/>
  <c r="AS93" i="3"/>
  <c r="AJ97" i="3"/>
  <c r="AK101" i="3"/>
  <c r="AL93" i="3"/>
  <c r="AK97" i="3"/>
  <c r="AJ85" i="3"/>
  <c r="E57" i="3"/>
  <c r="W57" i="3" s="1"/>
  <c r="AR57" i="3"/>
  <c r="AL61" i="3"/>
  <c r="K77" i="3"/>
  <c r="AR77" i="3"/>
  <c r="AM81" i="3"/>
  <c r="K57" i="3"/>
  <c r="AT75" i="3"/>
  <c r="AG77" i="3"/>
  <c r="AK77" i="3"/>
  <c r="AR81" i="3"/>
  <c r="AL77" i="3"/>
  <c r="AN81" i="3"/>
  <c r="AM34" i="3"/>
  <c r="E50" i="3"/>
  <c r="AL34" i="3"/>
  <c r="H34" i="3"/>
  <c r="AG34" i="3" s="1"/>
  <c r="AO34" i="3"/>
  <c r="AS42" i="3"/>
  <c r="AL42" i="3"/>
  <c r="AO50" i="3"/>
  <c r="AS34" i="3"/>
  <c r="AK34" i="3"/>
  <c r="AR34" i="3"/>
  <c r="AM38" i="3"/>
  <c r="H50" i="3"/>
  <c r="AG50" i="3" s="1"/>
  <c r="E34" i="3"/>
  <c r="Y34" i="3" s="1"/>
  <c r="AS50" i="3"/>
  <c r="K50" i="3"/>
  <c r="K89" i="2"/>
  <c r="AO93" i="2"/>
  <c r="AO101" i="2"/>
  <c r="AN105" i="2"/>
  <c r="AG88" i="2"/>
  <c r="Y88" i="2"/>
  <c r="Z88" i="2" s="1"/>
  <c r="AF88" i="2" s="1"/>
  <c r="AK88" i="2"/>
  <c r="AO88" i="2"/>
  <c r="AG92" i="2"/>
  <c r="Y92" i="2"/>
  <c r="AL92" i="2"/>
  <c r="AR92" i="2"/>
  <c r="Y93" i="2"/>
  <c r="AL96" i="2"/>
  <c r="AR96" i="2"/>
  <c r="Y97" i="2"/>
  <c r="AL100" i="2"/>
  <c r="AR100" i="2"/>
  <c r="Y101" i="2"/>
  <c r="AL104" i="2"/>
  <c r="AR104" i="2"/>
  <c r="AN97" i="2"/>
  <c r="AL88" i="2"/>
  <c r="AM92" i="2"/>
  <c r="E96" i="2"/>
  <c r="W96" i="2" s="1"/>
  <c r="Z96" i="2" s="1"/>
  <c r="AF96" i="2" s="1"/>
  <c r="L96" i="2"/>
  <c r="AG96" i="2"/>
  <c r="AM96" i="2"/>
  <c r="E100" i="2"/>
  <c r="W100" i="2" s="1"/>
  <c r="Z100" i="2" s="1"/>
  <c r="AF100" i="2" s="1"/>
  <c r="L100" i="2"/>
  <c r="AG100" i="2"/>
  <c r="AM100" i="2"/>
  <c r="E104" i="2"/>
  <c r="W104" i="2" s="1"/>
  <c r="Z104" i="2" s="1"/>
  <c r="AF104" i="2" s="1"/>
  <c r="L104" i="2"/>
  <c r="AG104" i="2"/>
  <c r="AM104" i="2"/>
  <c r="W37" i="2"/>
  <c r="Z37" i="2" s="1"/>
  <c r="AF37" i="2" s="1"/>
  <c r="W39" i="2"/>
  <c r="E42" i="2"/>
  <c r="AR46" i="2"/>
  <c r="AO54" i="2"/>
  <c r="AL58" i="2"/>
  <c r="AJ62" i="2"/>
  <c r="AT67" i="2"/>
  <c r="AG70" i="2"/>
  <c r="Y70" i="2"/>
  <c r="AL70" i="2"/>
  <c r="AR70" i="2"/>
  <c r="AN74" i="2"/>
  <c r="AS38" i="2"/>
  <c r="H33" i="2"/>
  <c r="AJ33" i="2"/>
  <c r="AN33" i="2"/>
  <c r="AS34" i="2"/>
  <c r="H37" i="2"/>
  <c r="AM37" i="2"/>
  <c r="AS37" i="2"/>
  <c r="AT37" i="2" s="1"/>
  <c r="AJ38" i="2"/>
  <c r="E41" i="2"/>
  <c r="AK41" i="2"/>
  <c r="AO41" i="2"/>
  <c r="AT44" i="2"/>
  <c r="AK45" i="2"/>
  <c r="AO45" i="2"/>
  <c r="E49" i="2"/>
  <c r="AL49" i="2"/>
  <c r="AR49" i="2"/>
  <c r="E53" i="2"/>
  <c r="W53" i="2" s="1"/>
  <c r="AK53" i="2"/>
  <c r="AO53" i="2"/>
  <c r="K54" i="2"/>
  <c r="Y54" i="2"/>
  <c r="AL54" i="2"/>
  <c r="AR54" i="2"/>
  <c r="E58" i="2"/>
  <c r="L58" i="2"/>
  <c r="AG58" i="2"/>
  <c r="AM58" i="2"/>
  <c r="AS58" i="2"/>
  <c r="E62" i="2"/>
  <c r="W62" i="2" s="1"/>
  <c r="AK62" i="2"/>
  <c r="AO62" i="2"/>
  <c r="E66" i="2"/>
  <c r="AJ66" i="2"/>
  <c r="AN66" i="2"/>
  <c r="AH67" i="2"/>
  <c r="AO69" i="2"/>
  <c r="AM70" i="2"/>
  <c r="AS70" i="2"/>
  <c r="Y73" i="2"/>
  <c r="E74" i="2"/>
  <c r="AK74" i="2"/>
  <c r="AO74" i="2"/>
  <c r="Y77" i="2"/>
  <c r="E78" i="2"/>
  <c r="AJ78" i="2"/>
  <c r="AH79" i="2"/>
  <c r="AT80" i="2"/>
  <c r="AJ81" i="2"/>
  <c r="AR82" i="2"/>
  <c r="AS50" i="2"/>
  <c r="AR34" i="2"/>
  <c r="AT34" i="2" s="1"/>
  <c r="K46" i="2"/>
  <c r="E54" i="2"/>
  <c r="W54" i="2" s="1"/>
  <c r="Z54" i="2" s="1"/>
  <c r="AF54" i="2" s="1"/>
  <c r="AK54" i="2"/>
  <c r="AR58" i="2"/>
  <c r="AN62" i="2"/>
  <c r="AM66" i="2"/>
  <c r="AS66" i="2"/>
  <c r="AJ74" i="2"/>
  <c r="AS78" i="2"/>
  <c r="AM82" i="2"/>
  <c r="AR78" i="2"/>
  <c r="AK33" i="2"/>
  <c r="AJ37" i="2"/>
  <c r="E38" i="2"/>
  <c r="Y38" i="2" s="1"/>
  <c r="K41" i="2"/>
  <c r="AL41" i="2"/>
  <c r="W43" i="2"/>
  <c r="Z43" i="2" s="1"/>
  <c r="AF43" i="2" s="1"/>
  <c r="AT43" i="2"/>
  <c r="E45" i="2"/>
  <c r="W45" i="2" s="1"/>
  <c r="AL45" i="2"/>
  <c r="K49" i="2"/>
  <c r="AM49" i="2"/>
  <c r="K53" i="2"/>
  <c r="Y53" i="2"/>
  <c r="AL53" i="2"/>
  <c r="AM54" i="2"/>
  <c r="K58" i="2"/>
  <c r="AJ58" i="2"/>
  <c r="AH59" i="2"/>
  <c r="K62" i="2"/>
  <c r="Y62" i="2"/>
  <c r="AL62" i="2"/>
  <c r="K66" i="2"/>
  <c r="AK66" i="2"/>
  <c r="E70" i="2"/>
  <c r="L70" i="2"/>
  <c r="AJ70" i="2"/>
  <c r="Z71" i="2"/>
  <c r="AF71" i="2" s="1"/>
  <c r="K74" i="2"/>
  <c r="Y74" i="2"/>
  <c r="AL74" i="2"/>
  <c r="K81" i="2"/>
  <c r="AS82" i="2"/>
  <c r="AO28" i="2"/>
  <c r="AO24" i="2" s="1"/>
  <c r="AJ28" i="2"/>
  <c r="AJ24" i="2" s="1"/>
  <c r="AK27" i="3"/>
  <c r="AO25" i="3"/>
  <c r="AL25" i="3"/>
  <c r="AS25" i="3"/>
  <c r="AK25" i="3"/>
  <c r="H25" i="3"/>
  <c r="AG25" i="3" s="1"/>
  <c r="AR25" i="3"/>
  <c r="Y25" i="3"/>
  <c r="E25" i="3"/>
  <c r="H24" i="2"/>
  <c r="AN24" i="2"/>
  <c r="K25" i="3"/>
  <c r="AN20" i="2"/>
  <c r="AL21" i="3"/>
  <c r="Y21" i="3"/>
  <c r="AO21" i="3"/>
  <c r="AK20" i="2"/>
  <c r="E21" i="3"/>
  <c r="AR21" i="3"/>
  <c r="AO17" i="3"/>
  <c r="H21" i="3"/>
  <c r="AG21" i="3" s="1"/>
  <c r="H27" i="3"/>
  <c r="AG27" i="3" s="1"/>
  <c r="AR27" i="3"/>
  <c r="E27" i="3"/>
  <c r="Y27" i="3"/>
  <c r="AM25" i="3"/>
  <c r="AO20" i="3"/>
  <c r="AK20" i="3"/>
  <c r="Y20" i="3"/>
  <c r="E20" i="3"/>
  <c r="AR20" i="3"/>
  <c r="AM20" i="3"/>
  <c r="H20" i="3"/>
  <c r="AG20" i="3" s="1"/>
  <c r="AL20" i="3"/>
  <c r="AO26" i="3"/>
  <c r="AK26" i="3"/>
  <c r="Y26" i="3"/>
  <c r="E26" i="3"/>
  <c r="AS26" i="3"/>
  <c r="AN26" i="3"/>
  <c r="AJ26" i="3"/>
  <c r="AR26" i="3"/>
  <c r="AM26" i="3"/>
  <c r="H26" i="3"/>
  <c r="AM33" i="3"/>
  <c r="AO33" i="3"/>
  <c r="AR37" i="3"/>
  <c r="AK37" i="3"/>
  <c r="E37" i="3"/>
  <c r="AN37" i="3"/>
  <c r="AR55" i="3"/>
  <c r="AM55" i="3"/>
  <c r="AG55" i="3"/>
  <c r="AL55" i="3"/>
  <c r="K55" i="3"/>
  <c r="AO55" i="3"/>
  <c r="AN55" i="3"/>
  <c r="AK55" i="3"/>
  <c r="E55" i="3"/>
  <c r="H17" i="3"/>
  <c r="K20" i="3"/>
  <c r="AN20" i="3"/>
  <c r="AJ22" i="3"/>
  <c r="AL26" i="3"/>
  <c r="I33" i="3"/>
  <c r="I37" i="3"/>
  <c r="AS37" i="3"/>
  <c r="AR41" i="3"/>
  <c r="H41" i="3"/>
  <c r="AG41" i="3" s="1"/>
  <c r="AL41" i="3"/>
  <c r="K41" i="3"/>
  <c r="AK41" i="3"/>
  <c r="E41" i="3"/>
  <c r="AJ41" i="3"/>
  <c r="AJ55" i="3"/>
  <c r="AR22" i="3"/>
  <c r="AT22" i="3" s="1"/>
  <c r="AM22" i="3"/>
  <c r="H22" i="3"/>
  <c r="AG22" i="3" s="1"/>
  <c r="AO22" i="3"/>
  <c r="AK22" i="3"/>
  <c r="Y22" i="3"/>
  <c r="E22" i="3"/>
  <c r="AL22" i="3"/>
  <c r="I26" i="3"/>
  <c r="AE29" i="3"/>
  <c r="AN41" i="3"/>
  <c r="AR45" i="3"/>
  <c r="AM45" i="3"/>
  <c r="H45" i="3"/>
  <c r="AG45" i="3" s="1"/>
  <c r="AL45" i="3"/>
  <c r="K45" i="3"/>
  <c r="AO45" i="3"/>
  <c r="AK45" i="3"/>
  <c r="E45" i="3"/>
  <c r="AN45" i="3"/>
  <c r="AS55" i="3"/>
  <c r="AO67" i="3"/>
  <c r="AK67" i="3"/>
  <c r="Y67" i="3"/>
  <c r="E67" i="3"/>
  <c r="AR67" i="3"/>
  <c r="AM67" i="3"/>
  <c r="AG67" i="3"/>
  <c r="AN67" i="3"/>
  <c r="K67" i="3"/>
  <c r="AL67" i="3"/>
  <c r="AJ67" i="3"/>
  <c r="AS67" i="3"/>
  <c r="AJ16" i="3"/>
  <c r="I20" i="3"/>
  <c r="AE15" i="3"/>
  <c r="AL17" i="3"/>
  <c r="G17" i="3"/>
  <c r="K17" i="3" s="1"/>
  <c r="AS17" i="3"/>
  <c r="AT17" i="3" s="1"/>
  <c r="AN17" i="3"/>
  <c r="AJ17" i="3"/>
  <c r="I17" i="3"/>
  <c r="E17" i="3"/>
  <c r="Y17" i="3"/>
  <c r="AK17" i="3"/>
  <c r="AJ20" i="3"/>
  <c r="AS20" i="3"/>
  <c r="AN22" i="3"/>
  <c r="K26" i="3"/>
  <c r="AN28" i="3"/>
  <c r="I28" i="3"/>
  <c r="AR28" i="3"/>
  <c r="AK28" i="3"/>
  <c r="AJ33" i="3"/>
  <c r="I41" i="3"/>
  <c r="AS41" i="3"/>
  <c r="K54" i="3"/>
  <c r="E54" i="3"/>
  <c r="AR54" i="3"/>
  <c r="Y55" i="3"/>
  <c r="I21" i="3"/>
  <c r="AJ21" i="3"/>
  <c r="AN21" i="3"/>
  <c r="AS21" i="3"/>
  <c r="AT21" i="3" s="1"/>
  <c r="I27" i="3"/>
  <c r="AJ27" i="3"/>
  <c r="AN27" i="3"/>
  <c r="AS27" i="3"/>
  <c r="AM31" i="3"/>
  <c r="I32" i="3"/>
  <c r="AJ32" i="3"/>
  <c r="AN32" i="3"/>
  <c r="H35" i="3"/>
  <c r="AG35" i="3" s="1"/>
  <c r="AM35" i="3"/>
  <c r="AR35" i="3"/>
  <c r="AJ36" i="3"/>
  <c r="AM39" i="3"/>
  <c r="I40" i="3"/>
  <c r="AJ40" i="3"/>
  <c r="AS40" i="3"/>
  <c r="H43" i="3"/>
  <c r="AG43" i="3" s="1"/>
  <c r="AM43" i="3"/>
  <c r="I44" i="3"/>
  <c r="AJ44" i="3"/>
  <c r="AS44" i="3"/>
  <c r="H47" i="3"/>
  <c r="AG47" i="3" s="1"/>
  <c r="U52" i="3"/>
  <c r="AK58" i="3"/>
  <c r="AS58" i="3"/>
  <c r="AM58" i="3"/>
  <c r="AO59" i="3"/>
  <c r="AK59" i="3"/>
  <c r="AG59" i="3"/>
  <c r="Y59" i="3"/>
  <c r="K59" i="3"/>
  <c r="AS59" i="3"/>
  <c r="AN59" i="3"/>
  <c r="AJ59" i="3"/>
  <c r="E59" i="3"/>
  <c r="AM59" i="3"/>
  <c r="AO60" i="3"/>
  <c r="AK60" i="3"/>
  <c r="Y60" i="3"/>
  <c r="K60" i="3"/>
  <c r="AS60" i="3"/>
  <c r="AJ60" i="3"/>
  <c r="E60" i="3"/>
  <c r="AM60" i="3"/>
  <c r="AO61" i="3"/>
  <c r="AK61" i="3"/>
  <c r="AG61" i="3"/>
  <c r="Y61" i="3"/>
  <c r="K61" i="3"/>
  <c r="AS61" i="3"/>
  <c r="AN61" i="3"/>
  <c r="AJ61" i="3"/>
  <c r="E61" i="3"/>
  <c r="AM61" i="3"/>
  <c r="AL62" i="3"/>
  <c r="AM62" i="3"/>
  <c r="AR63" i="3"/>
  <c r="AM63" i="3"/>
  <c r="AG63" i="3"/>
  <c r="AN63" i="3"/>
  <c r="AS63" i="3"/>
  <c r="AL63" i="3"/>
  <c r="Y63" i="3"/>
  <c r="K63" i="3"/>
  <c r="AJ63" i="3"/>
  <c r="AL69" i="3"/>
  <c r="L69" i="3"/>
  <c r="AG69" i="3"/>
  <c r="AS69" i="3"/>
  <c r="AN69" i="3"/>
  <c r="AJ69" i="3"/>
  <c r="E69" i="3"/>
  <c r="AO69" i="3"/>
  <c r="AM69" i="3"/>
  <c r="K69" i="3"/>
  <c r="AK69" i="3"/>
  <c r="AR69" i="3"/>
  <c r="I31" i="3"/>
  <c r="AJ31" i="3"/>
  <c r="AN31" i="3"/>
  <c r="I35" i="3"/>
  <c r="AJ35" i="3"/>
  <c r="AN35" i="3"/>
  <c r="AS35" i="3"/>
  <c r="I39" i="3"/>
  <c r="AJ43" i="3"/>
  <c r="AN43" i="3"/>
  <c r="AS43" i="3"/>
  <c r="AO47" i="3"/>
  <c r="AK47" i="3"/>
  <c r="AS47" i="3"/>
  <c r="AT47" i="3" s="1"/>
  <c r="AJ47" i="3"/>
  <c r="I47" i="3"/>
  <c r="K47" i="3"/>
  <c r="W63" i="3"/>
  <c r="AL72" i="3"/>
  <c r="I19" i="3"/>
  <c r="AJ19" i="3"/>
  <c r="AN19" i="3"/>
  <c r="I23" i="3"/>
  <c r="AJ23" i="3"/>
  <c r="AN23" i="3"/>
  <c r="I25" i="3"/>
  <c r="AJ25" i="3"/>
  <c r="AN25" i="3"/>
  <c r="K27" i="3"/>
  <c r="AN30" i="3"/>
  <c r="AK31" i="3"/>
  <c r="I34" i="3"/>
  <c r="AJ34" i="3"/>
  <c r="AN34" i="3"/>
  <c r="E35" i="3"/>
  <c r="AK35" i="3"/>
  <c r="AN38" i="3"/>
  <c r="K40" i="3"/>
  <c r="I42" i="3"/>
  <c r="AN42" i="3"/>
  <c r="E43" i="3"/>
  <c r="AK43" i="3"/>
  <c r="AJ46" i="3"/>
  <c r="AN46" i="3"/>
  <c r="E47" i="3"/>
  <c r="AL48" i="3"/>
  <c r="K48" i="3"/>
  <c r="AO48" i="3"/>
  <c r="AK48" i="3"/>
  <c r="E48" i="3"/>
  <c r="AM48" i="3"/>
  <c r="AL49" i="3"/>
  <c r="AR59" i="3"/>
  <c r="AR60" i="3"/>
  <c r="AR61" i="3"/>
  <c r="AT61" i="3" s="1"/>
  <c r="AR62" i="3"/>
  <c r="AO63" i="3"/>
  <c r="AS79" i="3"/>
  <c r="AN79" i="3"/>
  <c r="AJ79" i="3"/>
  <c r="E79" i="3"/>
  <c r="AO79" i="3"/>
  <c r="AM79" i="3"/>
  <c r="Y79" i="3"/>
  <c r="AR79" i="3"/>
  <c r="AL79" i="3"/>
  <c r="L79" i="3"/>
  <c r="K79" i="3"/>
  <c r="AL73" i="3"/>
  <c r="L73" i="3"/>
  <c r="AG73" i="3"/>
  <c r="AO73" i="3"/>
  <c r="AK73" i="3"/>
  <c r="Y73" i="3"/>
  <c r="K73" i="3"/>
  <c r="AS73" i="3"/>
  <c r="AN73" i="3"/>
  <c r="AJ73" i="3"/>
  <c r="E73" i="3"/>
  <c r="AR73" i="3"/>
  <c r="W75" i="3"/>
  <c r="Z75" i="3" s="1"/>
  <c r="AF75" i="3" s="1"/>
  <c r="AT77" i="3"/>
  <c r="AR82" i="3"/>
  <c r="AL82" i="3"/>
  <c r="K82" i="3"/>
  <c r="AN82" i="3"/>
  <c r="AK82" i="3"/>
  <c r="AD108" i="3"/>
  <c r="AD112" i="3" s="1"/>
  <c r="AM50" i="3"/>
  <c r="AR50" i="3"/>
  <c r="AT50" i="3" s="1"/>
  <c r="I51" i="3"/>
  <c r="AJ51" i="3"/>
  <c r="AN51" i="3"/>
  <c r="AS51" i="3"/>
  <c r="AJ53" i="3"/>
  <c r="AN53" i="3"/>
  <c r="AS53" i="3"/>
  <c r="AJ57" i="3"/>
  <c r="AN57" i="3"/>
  <c r="AS57" i="3"/>
  <c r="AT57" i="3" s="1"/>
  <c r="AS70" i="3"/>
  <c r="Y70" i="3"/>
  <c r="AL74" i="3"/>
  <c r="Y74" i="3"/>
  <c r="AS78" i="3"/>
  <c r="AN78" i="3"/>
  <c r="AO78" i="3"/>
  <c r="Y78" i="3"/>
  <c r="AR78" i="3"/>
  <c r="AL78" i="3"/>
  <c r="E78" i="3"/>
  <c r="AK78" i="3"/>
  <c r="AO80" i="3"/>
  <c r="Y80" i="3"/>
  <c r="E80" i="3"/>
  <c r="AJ80" i="3"/>
  <c r="AN80" i="3"/>
  <c r="AS80" i="3"/>
  <c r="K80" i="3"/>
  <c r="AJ82" i="3"/>
  <c r="K87" i="3"/>
  <c r="I50" i="3"/>
  <c r="AJ50" i="3"/>
  <c r="AN50" i="3"/>
  <c r="E51" i="3"/>
  <c r="AK51" i="3"/>
  <c r="E53" i="3"/>
  <c r="Y53" i="3"/>
  <c r="AG53" i="3"/>
  <c r="AK53" i="3"/>
  <c r="Y57" i="3"/>
  <c r="AG57" i="3"/>
  <c r="AK57" i="3"/>
  <c r="AR65" i="3"/>
  <c r="AM65" i="3"/>
  <c r="AO65" i="3"/>
  <c r="AK65" i="3"/>
  <c r="Y65" i="3"/>
  <c r="E65" i="3"/>
  <c r="AL65" i="3"/>
  <c r="AM70" i="3"/>
  <c r="AL71" i="3"/>
  <c r="L71" i="3"/>
  <c r="AG71" i="3"/>
  <c r="AO71" i="3"/>
  <c r="AK71" i="3"/>
  <c r="Y71" i="3"/>
  <c r="K71" i="3"/>
  <c r="AS71" i="3"/>
  <c r="AN71" i="3"/>
  <c r="AJ71" i="3"/>
  <c r="E71" i="3"/>
  <c r="AR71" i="3"/>
  <c r="AT71" i="3" s="1"/>
  <c r="AS74" i="3"/>
  <c r="W81" i="3"/>
  <c r="AS82" i="3"/>
  <c r="Q108" i="3"/>
  <c r="Q112" i="3" s="1"/>
  <c r="U108" i="3"/>
  <c r="AJ64" i="3"/>
  <c r="AN64" i="3"/>
  <c r="AL66" i="3"/>
  <c r="AJ68" i="3"/>
  <c r="AN68" i="3"/>
  <c r="K75" i="3"/>
  <c r="AL75" i="3"/>
  <c r="AM76" i="3"/>
  <c r="AR76" i="3"/>
  <c r="W77" i="3"/>
  <c r="Z77" i="3" s="1"/>
  <c r="AF77" i="3" s="1"/>
  <c r="AJ77" i="3"/>
  <c r="AN77" i="3"/>
  <c r="AS77" i="3"/>
  <c r="AG81" i="3"/>
  <c r="R108" i="3"/>
  <c r="R112" i="3" s="1"/>
  <c r="K88" i="3"/>
  <c r="K90" i="3"/>
  <c r="K93" i="3"/>
  <c r="AJ76" i="3"/>
  <c r="AN76" i="3"/>
  <c r="AS76" i="3"/>
  <c r="F108" i="3"/>
  <c r="F112" i="3" s="1"/>
  <c r="AJ66" i="3"/>
  <c r="AN66" i="3"/>
  <c r="AJ75" i="3"/>
  <c r="AN75" i="3"/>
  <c r="E76" i="3"/>
  <c r="Y76" i="3"/>
  <c r="AK76" i="3"/>
  <c r="AL81" i="3"/>
  <c r="K81" i="3"/>
  <c r="AO81" i="3"/>
  <c r="AK81" i="3"/>
  <c r="AJ81" i="3"/>
  <c r="AS81" i="3"/>
  <c r="W83" i="3"/>
  <c r="Z83" i="3" s="1"/>
  <c r="AF83" i="3" s="1"/>
  <c r="T108" i="3"/>
  <c r="T112" i="3" s="1"/>
  <c r="AC108" i="3"/>
  <c r="AC112" i="3" s="1"/>
  <c r="AP108" i="3"/>
  <c r="AP112" i="3" s="1"/>
  <c r="L103" i="3"/>
  <c r="AS103" i="3"/>
  <c r="AR103" i="3"/>
  <c r="AK103" i="3"/>
  <c r="AO103" i="3"/>
  <c r="AJ103" i="3"/>
  <c r="E103" i="3"/>
  <c r="C108" i="3"/>
  <c r="C112" i="3" s="1"/>
  <c r="O108" i="3"/>
  <c r="O112" i="3" s="1"/>
  <c r="S108" i="3"/>
  <c r="S112" i="3" s="1"/>
  <c r="AA108" i="3"/>
  <c r="AA112" i="3" s="1"/>
  <c r="AL90" i="3"/>
  <c r="AL92" i="3"/>
  <c r="AR105" i="3"/>
  <c r="Y105" i="3"/>
  <c r="AL105" i="3"/>
  <c r="AJ83" i="3"/>
  <c r="AN83" i="3"/>
  <c r="X108" i="3"/>
  <c r="X112" i="3" s="1"/>
  <c r="AB108" i="3"/>
  <c r="AB112" i="3" s="1"/>
  <c r="AM90" i="3"/>
  <c r="AM91" i="3"/>
  <c r="AS92" i="3"/>
  <c r="AM93" i="3"/>
  <c r="AM96" i="3"/>
  <c r="AM98" i="3"/>
  <c r="AJ99" i="3"/>
  <c r="AO99" i="3"/>
  <c r="AL100" i="3"/>
  <c r="L100" i="3"/>
  <c r="Y100" i="3"/>
  <c r="AN100" i="3"/>
  <c r="AM101" i="3"/>
  <c r="G84" i="3"/>
  <c r="L104" i="3"/>
  <c r="AO104" i="3"/>
  <c r="AL101" i="3"/>
  <c r="L101" i="3"/>
  <c r="Y101" i="3"/>
  <c r="AN101" i="3"/>
  <c r="E101" i="3"/>
  <c r="K101" i="3"/>
  <c r="AO101" i="3"/>
  <c r="AL102" i="3"/>
  <c r="AO107" i="3"/>
  <c r="AR107" i="3"/>
  <c r="AL106" i="3"/>
  <c r="AJ106" i="3"/>
  <c r="AN106" i="3"/>
  <c r="D84" i="2"/>
  <c r="AI88" i="2"/>
  <c r="AG89" i="2"/>
  <c r="Y89" i="2"/>
  <c r="AL89" i="2"/>
  <c r="AR89" i="2"/>
  <c r="E93" i="2"/>
  <c r="AL93" i="2"/>
  <c r="AR93" i="2"/>
  <c r="AT95" i="2"/>
  <c r="E97" i="2"/>
  <c r="AL97" i="2"/>
  <c r="AR97" i="2"/>
  <c r="AT99" i="2"/>
  <c r="E101" i="2"/>
  <c r="AL101" i="2"/>
  <c r="AR101" i="2"/>
  <c r="AT103" i="2"/>
  <c r="E105" i="2"/>
  <c r="AK105" i="2"/>
  <c r="AK84" i="2" s="1"/>
  <c r="AO105" i="2"/>
  <c r="AL107" i="2"/>
  <c r="AR107" i="2"/>
  <c r="AT107" i="2" s="1"/>
  <c r="AM89" i="2"/>
  <c r="AS89" i="2"/>
  <c r="K93" i="2"/>
  <c r="L93" i="2"/>
  <c r="AM93" i="2"/>
  <c r="AS93" i="2"/>
  <c r="K97" i="2"/>
  <c r="L97" i="2"/>
  <c r="AM97" i="2"/>
  <c r="AS97" i="2"/>
  <c r="K101" i="2"/>
  <c r="L101" i="2"/>
  <c r="AM101" i="2"/>
  <c r="AS101" i="2"/>
  <c r="K105" i="2"/>
  <c r="AL105" i="2"/>
  <c r="AR105" i="2"/>
  <c r="AT105" i="2" s="1"/>
  <c r="AT87" i="2"/>
  <c r="E89" i="2"/>
  <c r="AI89" i="2" s="1"/>
  <c r="L89" i="2"/>
  <c r="AJ89" i="2"/>
  <c r="AT90" i="2"/>
  <c r="AT91" i="2"/>
  <c r="AJ93" i="2"/>
  <c r="AH94" i="2"/>
  <c r="AQ94" i="2" s="1"/>
  <c r="AT94" i="2"/>
  <c r="W95" i="2"/>
  <c r="Z95" i="2" s="1"/>
  <c r="AF95" i="2" s="1"/>
  <c r="AJ97" i="2"/>
  <c r="AH98" i="2"/>
  <c r="AQ98" i="2" s="1"/>
  <c r="AT98" i="2"/>
  <c r="W99" i="2"/>
  <c r="Z99" i="2" s="1"/>
  <c r="AF99" i="2" s="1"/>
  <c r="AJ101" i="2"/>
  <c r="AH102" i="2"/>
  <c r="AQ102" i="2" s="1"/>
  <c r="AT102" i="2"/>
  <c r="W103" i="2"/>
  <c r="Z103" i="2" s="1"/>
  <c r="AF103" i="2" s="1"/>
  <c r="AM105" i="2"/>
  <c r="AT106" i="2"/>
  <c r="E85" i="2"/>
  <c r="AH85" i="2" s="1"/>
  <c r="L85" i="2"/>
  <c r="AJ85" i="2"/>
  <c r="AN85" i="2"/>
  <c r="Y85" i="2"/>
  <c r="AL85" i="2"/>
  <c r="AJ84" i="2"/>
  <c r="AT55" i="2"/>
  <c r="K57" i="2"/>
  <c r="AL57" i="2"/>
  <c r="AR57" i="2"/>
  <c r="K61" i="2"/>
  <c r="AJ61" i="2"/>
  <c r="AN61" i="2"/>
  <c r="AH63" i="2"/>
  <c r="AT63" i="2"/>
  <c r="AG65" i="2"/>
  <c r="AL65" i="2"/>
  <c r="AR65" i="2"/>
  <c r="E69" i="2"/>
  <c r="W69" i="2" s="1"/>
  <c r="AL69" i="2"/>
  <c r="AR69" i="2"/>
  <c r="E73" i="2"/>
  <c r="W73" i="2" s="1"/>
  <c r="AL73" i="2"/>
  <c r="AR73" i="2"/>
  <c r="AL77" i="2"/>
  <c r="AR77" i="2"/>
  <c r="K78" i="2"/>
  <c r="Y78" i="2"/>
  <c r="AK78" i="2"/>
  <c r="AO78" i="2"/>
  <c r="AG81" i="2"/>
  <c r="Y81" i="2"/>
  <c r="AK81" i="2"/>
  <c r="AO81" i="2"/>
  <c r="K82" i="2"/>
  <c r="AJ82" i="2"/>
  <c r="AN82" i="2"/>
  <c r="AT61" i="2"/>
  <c r="AT56" i="2"/>
  <c r="AG57" i="2"/>
  <c r="AM57" i="2"/>
  <c r="AS57" i="2"/>
  <c r="AG61" i="2"/>
  <c r="Y61" i="2"/>
  <c r="AK61" i="2"/>
  <c r="AO61" i="2"/>
  <c r="Y65" i="2"/>
  <c r="AM65" i="2"/>
  <c r="AS65" i="2"/>
  <c r="W67" i="2"/>
  <c r="Z67" i="2" s="1"/>
  <c r="AF67" i="2" s="1"/>
  <c r="K69" i="2"/>
  <c r="L69" i="2"/>
  <c r="AM69" i="2"/>
  <c r="AS69" i="2"/>
  <c r="K73" i="2"/>
  <c r="L73" i="2"/>
  <c r="AM73" i="2"/>
  <c r="AS73" i="2"/>
  <c r="AG77" i="2"/>
  <c r="AM77" i="2"/>
  <c r="AS77" i="2"/>
  <c r="AG78" i="2"/>
  <c r="AL78" i="2"/>
  <c r="AH80" i="2"/>
  <c r="AL81" i="2"/>
  <c r="AR81" i="2"/>
  <c r="AT81" i="2" s="1"/>
  <c r="AG82" i="2"/>
  <c r="Y82" i="2"/>
  <c r="Z82" i="2" s="1"/>
  <c r="AF82" i="2" s="1"/>
  <c r="AK82" i="2"/>
  <c r="AH83" i="2"/>
  <c r="I52" i="2"/>
  <c r="Y57" i="2"/>
  <c r="Z57" i="2" s="1"/>
  <c r="AF57" i="2" s="1"/>
  <c r="AJ57" i="2"/>
  <c r="AL61" i="2"/>
  <c r="Z64" i="2"/>
  <c r="AF64" i="2" s="1"/>
  <c r="E65" i="2"/>
  <c r="J65" i="2" s="1"/>
  <c r="K65" i="2"/>
  <c r="AJ65" i="2"/>
  <c r="AI69" i="2"/>
  <c r="AJ69" i="2"/>
  <c r="AT71" i="2"/>
  <c r="AJ73" i="2"/>
  <c r="E77" i="2"/>
  <c r="W77" i="2" s="1"/>
  <c r="Z77" i="2" s="1"/>
  <c r="AF77" i="2" s="1"/>
  <c r="AJ77" i="2"/>
  <c r="AT79" i="2"/>
  <c r="E81" i="2"/>
  <c r="W81" i="2" s="1"/>
  <c r="AM81" i="2"/>
  <c r="AT19" i="2"/>
  <c r="AT23" i="2"/>
  <c r="E34" i="2"/>
  <c r="Y34" i="2" s="1"/>
  <c r="AJ34" i="2"/>
  <c r="AN34" i="2"/>
  <c r="K38" i="2"/>
  <c r="AK38" i="2"/>
  <c r="AO38" i="2"/>
  <c r="K42" i="2"/>
  <c r="AK42" i="2"/>
  <c r="AO42" i="2"/>
  <c r="AT45" i="2"/>
  <c r="H46" i="2"/>
  <c r="AG46" i="2" s="1"/>
  <c r="AM46" i="2"/>
  <c r="AS46" i="2"/>
  <c r="AT46" i="2" s="1"/>
  <c r="E50" i="2"/>
  <c r="Y50" i="2" s="1"/>
  <c r="AK50" i="2"/>
  <c r="AO50" i="2"/>
  <c r="K34" i="2"/>
  <c r="AK34" i="2"/>
  <c r="AO34" i="2"/>
  <c r="H38" i="2"/>
  <c r="AG38" i="2" s="1"/>
  <c r="AL38" i="2"/>
  <c r="AR38" i="2"/>
  <c r="AI39" i="2"/>
  <c r="H42" i="2"/>
  <c r="AL42" i="2"/>
  <c r="AR42" i="2"/>
  <c r="AT42" i="2" s="1"/>
  <c r="AJ46" i="2"/>
  <c r="AN46" i="2"/>
  <c r="K50" i="2"/>
  <c r="AL50" i="2"/>
  <c r="AR50" i="2"/>
  <c r="AT50" i="2" s="1"/>
  <c r="D29" i="2"/>
  <c r="AI31" i="2"/>
  <c r="W31" i="2"/>
  <c r="AT31" i="2"/>
  <c r="W33" i="2"/>
  <c r="Z33" i="2" s="1"/>
  <c r="AF33" i="2" s="1"/>
  <c r="AT33" i="2"/>
  <c r="H34" i="2"/>
  <c r="AG34" i="2" s="1"/>
  <c r="AL34" i="2"/>
  <c r="W35" i="2"/>
  <c r="Z35" i="2" s="1"/>
  <c r="AF35" i="2" s="1"/>
  <c r="AT35" i="2"/>
  <c r="AM38" i="2"/>
  <c r="AM42" i="2"/>
  <c r="E46" i="2"/>
  <c r="W46" i="2" s="1"/>
  <c r="AK46" i="2"/>
  <c r="AT49" i="2"/>
  <c r="H50" i="2"/>
  <c r="AG50" i="2" s="1"/>
  <c r="AM50" i="2"/>
  <c r="AT27" i="2"/>
  <c r="K28" i="2"/>
  <c r="AL28" i="2"/>
  <c r="AL24" i="2" s="1"/>
  <c r="AR28" i="2"/>
  <c r="AR24" i="2" s="1"/>
  <c r="Y24" i="2"/>
  <c r="AK24" i="2"/>
  <c r="AI26" i="2"/>
  <c r="AT26" i="2"/>
  <c r="E28" i="2"/>
  <c r="E24" i="2" s="1"/>
  <c r="AG28" i="2"/>
  <c r="AM28" i="2"/>
  <c r="AM24" i="2" s="1"/>
  <c r="AT17" i="2"/>
  <c r="H20" i="2"/>
  <c r="AG20" i="2" s="1"/>
  <c r="AL20" i="2"/>
  <c r="AR20" i="2"/>
  <c r="AT22" i="2"/>
  <c r="AM20" i="2"/>
  <c r="AS20" i="2"/>
  <c r="E20" i="2"/>
  <c r="AJ20" i="2"/>
  <c r="AH21" i="2"/>
  <c r="AH23" i="2"/>
  <c r="D15" i="2"/>
  <c r="AL16" i="2"/>
  <c r="AL15" i="2" s="1"/>
  <c r="AR16" i="2"/>
  <c r="AO16" i="2"/>
  <c r="AO15" i="2" s="1"/>
  <c r="G16" i="2"/>
  <c r="G15" i="2" s="1"/>
  <c r="AM16" i="2"/>
  <c r="AS16" i="2"/>
  <c r="E16" i="2"/>
  <c r="AK16" i="2"/>
  <c r="H16" i="2"/>
  <c r="AJ16" i="2"/>
  <c r="AG17" i="2"/>
  <c r="W36" i="2"/>
  <c r="AI36" i="2"/>
  <c r="AH36" i="2"/>
  <c r="W44" i="2"/>
  <c r="AI44" i="2"/>
  <c r="AH44" i="2"/>
  <c r="AQ44" i="2" s="1"/>
  <c r="Y44" i="2"/>
  <c r="W30" i="2"/>
  <c r="AG37" i="2"/>
  <c r="U29" i="2"/>
  <c r="Z55" i="2"/>
  <c r="AF55" i="2" s="1"/>
  <c r="AG76" i="2"/>
  <c r="AH76" i="2"/>
  <c r="AH17" i="2"/>
  <c r="K19" i="2"/>
  <c r="AH19" i="2" s="1"/>
  <c r="J21" i="2"/>
  <c r="AH35" i="2"/>
  <c r="AG35" i="2"/>
  <c r="AH43" i="2"/>
  <c r="AG43" i="2"/>
  <c r="AH91" i="2"/>
  <c r="AI91" i="2"/>
  <c r="W91" i="2"/>
  <c r="Z91" i="2" s="1"/>
  <c r="AF91" i="2" s="1"/>
  <c r="F15" i="2"/>
  <c r="K16" i="2"/>
  <c r="AI17" i="2"/>
  <c r="K18" i="2"/>
  <c r="K20" i="2"/>
  <c r="K22" i="2"/>
  <c r="AI22" i="2" s="1"/>
  <c r="I24" i="2"/>
  <c r="AS24" i="2"/>
  <c r="AH31" i="2"/>
  <c r="AG31" i="2"/>
  <c r="W32" i="2"/>
  <c r="Z32" i="2" s="1"/>
  <c r="AF32" i="2" s="1"/>
  <c r="AI32" i="2"/>
  <c r="AQ32" i="2" s="1"/>
  <c r="AH32" i="2"/>
  <c r="J32" i="2"/>
  <c r="N32" i="2" s="1"/>
  <c r="M32" i="2" s="1"/>
  <c r="P32" i="2" s="1"/>
  <c r="V32" i="2" s="1"/>
  <c r="AH39" i="2"/>
  <c r="AG39" i="2"/>
  <c r="W40" i="2"/>
  <c r="Z40" i="2" s="1"/>
  <c r="AF40" i="2" s="1"/>
  <c r="AI40" i="2"/>
  <c r="AH40" i="2"/>
  <c r="J40" i="2"/>
  <c r="N40" i="2" s="1"/>
  <c r="M40" i="2" s="1"/>
  <c r="P40" i="2" s="1"/>
  <c r="V40" i="2" s="1"/>
  <c r="AH55" i="2"/>
  <c r="AH56" i="2"/>
  <c r="K60" i="2"/>
  <c r="AH60" i="2" s="1"/>
  <c r="J23" i="2"/>
  <c r="K25" i="2"/>
  <c r="AI25" i="2" s="1"/>
  <c r="J36" i="2"/>
  <c r="N36" i="2" s="1"/>
  <c r="J44" i="2"/>
  <c r="N44" i="2" s="1"/>
  <c r="J91" i="2"/>
  <c r="N91" i="2" s="1"/>
  <c r="J17" i="2"/>
  <c r="AI21" i="2"/>
  <c r="AI23" i="2"/>
  <c r="AH26" i="2"/>
  <c r="AG26" i="2"/>
  <c r="AG24" i="2" s="1"/>
  <c r="Z31" i="2"/>
  <c r="AF31" i="2" s="1"/>
  <c r="AI35" i="2"/>
  <c r="Y36" i="2"/>
  <c r="Z39" i="2"/>
  <c r="AF39" i="2" s="1"/>
  <c r="AH41" i="2"/>
  <c r="AG41" i="2"/>
  <c r="AI43" i="2"/>
  <c r="AI46" i="2"/>
  <c r="F108" i="2"/>
  <c r="F112" i="2" s="1"/>
  <c r="K30" i="2"/>
  <c r="W47" i="2"/>
  <c r="AH47" i="2"/>
  <c r="J47" i="2"/>
  <c r="N47" i="2" s="1"/>
  <c r="M47" i="2" s="1"/>
  <c r="P47" i="2" s="1"/>
  <c r="V47" i="2" s="1"/>
  <c r="AI47" i="2"/>
  <c r="W49" i="2"/>
  <c r="AH49" i="2"/>
  <c r="J49" i="2"/>
  <c r="N49" i="2" s="1"/>
  <c r="M49" i="2" s="1"/>
  <c r="P49" i="2" s="1"/>
  <c r="V49" i="2" s="1"/>
  <c r="AI49" i="2"/>
  <c r="W51" i="2"/>
  <c r="AH51" i="2"/>
  <c r="J51" i="2"/>
  <c r="N51" i="2" s="1"/>
  <c r="M51" i="2" s="1"/>
  <c r="P51" i="2" s="1"/>
  <c r="V51" i="2" s="1"/>
  <c r="AI51" i="2"/>
  <c r="AG59" i="2"/>
  <c r="AI64" i="2"/>
  <c r="AI68" i="2"/>
  <c r="AI72" i="2"/>
  <c r="AH72" i="2"/>
  <c r="J72" i="2"/>
  <c r="N72" i="2" s="1"/>
  <c r="M72" i="2" s="1"/>
  <c r="P72" i="2" s="1"/>
  <c r="V72" i="2" s="1"/>
  <c r="W72" i="2"/>
  <c r="Z72" i="2" s="1"/>
  <c r="AF72" i="2" s="1"/>
  <c r="J26" i="2"/>
  <c r="J31" i="2"/>
  <c r="N31" i="2" s="1"/>
  <c r="J33" i="2"/>
  <c r="J35" i="2"/>
  <c r="N35" i="2" s="1"/>
  <c r="J39" i="2"/>
  <c r="J41" i="2"/>
  <c r="J43" i="2"/>
  <c r="Y45" i="2"/>
  <c r="Y47" i="2"/>
  <c r="Y49" i="2"/>
  <c r="Y51" i="2"/>
  <c r="AT54" i="2"/>
  <c r="W61" i="2"/>
  <c r="AH64" i="2"/>
  <c r="AH68" i="2"/>
  <c r="AI76" i="2"/>
  <c r="AI92" i="2"/>
  <c r="W92" i="2"/>
  <c r="Z92" i="2" s="1"/>
  <c r="AF92" i="2" s="1"/>
  <c r="AH48" i="2"/>
  <c r="W48" i="2"/>
  <c r="Z48" i="2" s="1"/>
  <c r="AF48" i="2" s="1"/>
  <c r="J48" i="2"/>
  <c r="N48" i="2" s="1"/>
  <c r="AI48" i="2"/>
  <c r="AI56" i="2"/>
  <c r="AI59" i="2"/>
  <c r="J59" i="2"/>
  <c r="N59" i="2" s="1"/>
  <c r="M59" i="2" s="1"/>
  <c r="P59" i="2" s="1"/>
  <c r="V59" i="2" s="1"/>
  <c r="W59" i="2"/>
  <c r="Z59" i="2" s="1"/>
  <c r="AF59" i="2" s="1"/>
  <c r="Z60" i="2"/>
  <c r="AF60" i="2" s="1"/>
  <c r="AT62" i="2"/>
  <c r="AT64" i="2"/>
  <c r="AT66" i="2"/>
  <c r="AT68" i="2"/>
  <c r="AT72" i="2"/>
  <c r="W75" i="2"/>
  <c r="Z75" i="2" s="1"/>
  <c r="AF75" i="2" s="1"/>
  <c r="AI75" i="2"/>
  <c r="AH75" i="2"/>
  <c r="J75" i="2"/>
  <c r="AE108" i="2"/>
  <c r="K88" i="2"/>
  <c r="AG54" i="2"/>
  <c r="AI55" i="2"/>
  <c r="J56" i="2"/>
  <c r="AG56" i="2"/>
  <c r="J58" i="2"/>
  <c r="AG62" i="2"/>
  <c r="AI63" i="2"/>
  <c r="J64" i="2"/>
  <c r="AG64" i="2"/>
  <c r="AG66" i="2"/>
  <c r="AI67" i="2"/>
  <c r="AQ67" i="2" s="1"/>
  <c r="J68" i="2"/>
  <c r="AG68" i="2"/>
  <c r="AI70" i="2"/>
  <c r="W74" i="2"/>
  <c r="Z74" i="2" s="1"/>
  <c r="AF74" i="2" s="1"/>
  <c r="R108" i="2"/>
  <c r="R112" i="2" s="1"/>
  <c r="AP108" i="2"/>
  <c r="AP112" i="2" s="1"/>
  <c r="AG85" i="2"/>
  <c r="AT86" i="2"/>
  <c r="K71" i="2"/>
  <c r="AI71" i="2" s="1"/>
  <c r="J74" i="2"/>
  <c r="W76" i="2"/>
  <c r="Z76" i="2" s="1"/>
  <c r="AF76" i="2" s="1"/>
  <c r="J76" i="2"/>
  <c r="N76" i="2" s="1"/>
  <c r="AD108" i="2"/>
  <c r="AD112" i="2" s="1"/>
  <c r="AG93" i="2"/>
  <c r="AG97" i="2"/>
  <c r="AG101" i="2"/>
  <c r="AG105" i="2"/>
  <c r="J55" i="2"/>
  <c r="N55" i="2" s="1"/>
  <c r="J63" i="2"/>
  <c r="J67" i="2"/>
  <c r="AI79" i="2"/>
  <c r="AQ79" i="2" s="1"/>
  <c r="J79" i="2"/>
  <c r="N79" i="2" s="1"/>
  <c r="M79" i="2" s="1"/>
  <c r="P79" i="2" s="1"/>
  <c r="V79" i="2" s="1"/>
  <c r="W79" i="2"/>
  <c r="Z79" i="2" s="1"/>
  <c r="AF79" i="2" s="1"/>
  <c r="AI80" i="2"/>
  <c r="AI87" i="2"/>
  <c r="AH87" i="2"/>
  <c r="J87" i="2"/>
  <c r="N87" i="2" s="1"/>
  <c r="W87" i="2"/>
  <c r="Z87" i="2" s="1"/>
  <c r="AF87" i="2" s="1"/>
  <c r="J80" i="2"/>
  <c r="N80" i="2" s="1"/>
  <c r="AI83" i="2"/>
  <c r="AQ83" i="2" s="1"/>
  <c r="C108" i="2"/>
  <c r="C112" i="2" s="1"/>
  <c r="G84" i="2"/>
  <c r="O108" i="2"/>
  <c r="O112" i="2" s="1"/>
  <c r="S108" i="2"/>
  <c r="S112" i="2" s="1"/>
  <c r="AA108" i="2"/>
  <c r="AA112" i="2" s="1"/>
  <c r="AI85" i="2"/>
  <c r="W86" i="2"/>
  <c r="Z86" i="2" s="1"/>
  <c r="AF86" i="2" s="1"/>
  <c r="W90" i="2"/>
  <c r="Z90" i="2" s="1"/>
  <c r="AF90" i="2" s="1"/>
  <c r="K92" i="2"/>
  <c r="K107" i="2"/>
  <c r="J107" i="2" s="1"/>
  <c r="T108" i="2"/>
  <c r="T112" i="2" s="1"/>
  <c r="X108" i="2"/>
  <c r="X112" i="2" s="1"/>
  <c r="AB108" i="2"/>
  <c r="AB112" i="2" s="1"/>
  <c r="W85" i="2"/>
  <c r="K86" i="2"/>
  <c r="K90" i="2"/>
  <c r="AH90" i="2" s="1"/>
  <c r="AQ90" i="2" s="1"/>
  <c r="AH95" i="2"/>
  <c r="AQ95" i="2" s="1"/>
  <c r="J95" i="2"/>
  <c r="J96" i="2"/>
  <c r="AH99" i="2"/>
  <c r="AQ99" i="2" s="1"/>
  <c r="J99" i="2"/>
  <c r="AH100" i="2"/>
  <c r="AH103" i="2"/>
  <c r="AQ103" i="2" s="1"/>
  <c r="J103" i="2"/>
  <c r="AI104" i="2"/>
  <c r="AI106" i="2"/>
  <c r="AH106" i="2"/>
  <c r="J106" i="2"/>
  <c r="W106" i="2"/>
  <c r="Z106" i="2" s="1"/>
  <c r="AF106" i="2" s="1"/>
  <c r="J83" i="2"/>
  <c r="Q108" i="2"/>
  <c r="Q112" i="2" s="1"/>
  <c r="AC108" i="2"/>
  <c r="AC112" i="2" s="1"/>
  <c r="V110" i="2"/>
  <c r="V111" i="2" s="1"/>
  <c r="AU111" i="2" s="1"/>
  <c r="AI107" i="2"/>
  <c r="J94" i="2"/>
  <c r="W94" i="2"/>
  <c r="Z94" i="2" s="1"/>
  <c r="AF94" i="2" s="1"/>
  <c r="J98" i="2"/>
  <c r="W98" i="2"/>
  <c r="Z98" i="2" s="1"/>
  <c r="AF98" i="2" s="1"/>
  <c r="J102" i="2"/>
  <c r="W102" i="2"/>
  <c r="Z102" i="2" s="1"/>
  <c r="AF102" i="2" s="1"/>
  <c r="W107" i="2"/>
  <c r="Z107" i="2" s="1"/>
  <c r="AF107" i="2" s="1"/>
  <c r="AT17" i="1"/>
  <c r="AL15" i="1"/>
  <c r="AL108" i="1" s="1"/>
  <c r="AL112" i="1" s="1"/>
  <c r="G15" i="1"/>
  <c r="AS15" i="1"/>
  <c r="AS108" i="1" s="1"/>
  <c r="AS112" i="1" s="1"/>
  <c r="AH18" i="1"/>
  <c r="AH20" i="1"/>
  <c r="AH22" i="1"/>
  <c r="AT24" i="1"/>
  <c r="K29" i="1"/>
  <c r="AH30" i="1"/>
  <c r="Y17" i="1"/>
  <c r="AI22" i="1"/>
  <c r="K25" i="1"/>
  <c r="J25" i="1" s="1"/>
  <c r="K27" i="1"/>
  <c r="AH27" i="1" s="1"/>
  <c r="AI31" i="1"/>
  <c r="J31" i="1"/>
  <c r="N31" i="1" s="1"/>
  <c r="M31" i="1" s="1"/>
  <c r="P31" i="1" s="1"/>
  <c r="V31" i="1" s="1"/>
  <c r="AI33" i="1"/>
  <c r="J33" i="1"/>
  <c r="N33" i="1" s="1"/>
  <c r="AI35" i="1"/>
  <c r="J35" i="1"/>
  <c r="AI37" i="1"/>
  <c r="AH37" i="1"/>
  <c r="J37" i="1"/>
  <c r="W37" i="1"/>
  <c r="AG38" i="1"/>
  <c r="AI38" i="1"/>
  <c r="AH38" i="1"/>
  <c r="AH60" i="1"/>
  <c r="AI18" i="1"/>
  <c r="AI20" i="1"/>
  <c r="E15" i="1"/>
  <c r="J16" i="1"/>
  <c r="Y16" i="1"/>
  <c r="Y15" i="1" s="1"/>
  <c r="AG16" i="1"/>
  <c r="K17" i="1"/>
  <c r="AH17" i="1" s="1"/>
  <c r="K19" i="1"/>
  <c r="AI19" i="1" s="1"/>
  <c r="K21" i="1"/>
  <c r="AH21" i="1" s="1"/>
  <c r="K23" i="1"/>
  <c r="AH23" i="1" s="1"/>
  <c r="J26" i="1"/>
  <c r="AG26" i="1"/>
  <c r="AH28" i="1"/>
  <c r="AQ28" i="1" s="1"/>
  <c r="Z30" i="1"/>
  <c r="AI30" i="1"/>
  <c r="W31" i="1"/>
  <c r="AI32" i="1"/>
  <c r="AQ32" i="1" s="1"/>
  <c r="W33" i="1"/>
  <c r="Z33" i="1" s="1"/>
  <c r="AF33" i="1" s="1"/>
  <c r="AI34" i="1"/>
  <c r="AQ34" i="1" s="1"/>
  <c r="AT34" i="1"/>
  <c r="AT29" i="1" s="1"/>
  <c r="W35" i="1"/>
  <c r="N37" i="1"/>
  <c r="M37" i="1" s="1"/>
  <c r="P37" i="1" s="1"/>
  <c r="V37" i="1" s="1"/>
  <c r="Y37" i="1"/>
  <c r="AI39" i="1"/>
  <c r="AI47" i="1"/>
  <c r="AI63" i="1"/>
  <c r="AH63" i="1"/>
  <c r="F15" i="1"/>
  <c r="F108" i="1" s="1"/>
  <c r="F112" i="1" s="1"/>
  <c r="AH16" i="1"/>
  <c r="J18" i="1"/>
  <c r="AG18" i="1"/>
  <c r="J20" i="1"/>
  <c r="AG20" i="1"/>
  <c r="J22" i="1"/>
  <c r="AG22" i="1"/>
  <c r="G24" i="1"/>
  <c r="G29" i="1"/>
  <c r="Y31" i="1"/>
  <c r="Y33" i="1"/>
  <c r="N35" i="1"/>
  <c r="M35" i="1" s="1"/>
  <c r="P35" i="1" s="1"/>
  <c r="V35" i="1" s="1"/>
  <c r="Y35" i="1"/>
  <c r="AF36" i="1"/>
  <c r="AI41" i="1"/>
  <c r="AI49" i="1"/>
  <c r="Z53" i="1"/>
  <c r="AT52" i="1"/>
  <c r="N28" i="1"/>
  <c r="M28" i="1" s="1"/>
  <c r="P28" i="1" s="1"/>
  <c r="V28" i="1" s="1"/>
  <c r="AH31" i="1"/>
  <c r="AH33" i="1"/>
  <c r="AQ33" i="1" s="1"/>
  <c r="AH35" i="1"/>
  <c r="AQ35" i="1" s="1"/>
  <c r="AG36" i="1"/>
  <c r="AI43" i="1"/>
  <c r="W39" i="1"/>
  <c r="AH40" i="1"/>
  <c r="W41" i="1"/>
  <c r="AH42" i="1"/>
  <c r="W43" i="1"/>
  <c r="AH44" i="1"/>
  <c r="W45" i="1"/>
  <c r="AH46" i="1"/>
  <c r="W47" i="1"/>
  <c r="AH48" i="1"/>
  <c r="W49" i="1"/>
  <c r="AH50" i="1"/>
  <c r="W51" i="1"/>
  <c r="AI54" i="1"/>
  <c r="AQ54" i="1" s="1"/>
  <c r="J55" i="1"/>
  <c r="AI56" i="1"/>
  <c r="AQ56" i="1" s="1"/>
  <c r="J57" i="1"/>
  <c r="AH58" i="1"/>
  <c r="AI64" i="1"/>
  <c r="AH64" i="1"/>
  <c r="J64" i="1"/>
  <c r="N64" i="1" s="1"/>
  <c r="W64" i="1"/>
  <c r="Z64" i="1" s="1"/>
  <c r="AF64" i="1" s="1"/>
  <c r="AI68" i="1"/>
  <c r="AH76" i="1"/>
  <c r="J39" i="1"/>
  <c r="N39" i="1" s="1"/>
  <c r="M39" i="1" s="1"/>
  <c r="P39" i="1" s="1"/>
  <c r="V39" i="1" s="1"/>
  <c r="Y39" i="1"/>
  <c r="AI40" i="1"/>
  <c r="J41" i="1"/>
  <c r="N41" i="1" s="1"/>
  <c r="M41" i="1" s="1"/>
  <c r="P41" i="1" s="1"/>
  <c r="V41" i="1" s="1"/>
  <c r="Y41" i="1"/>
  <c r="AI42" i="1"/>
  <c r="J43" i="1"/>
  <c r="N43" i="1" s="1"/>
  <c r="M43" i="1" s="1"/>
  <c r="P43" i="1" s="1"/>
  <c r="V43" i="1" s="1"/>
  <c r="Y43" i="1"/>
  <c r="AI44" i="1"/>
  <c r="J45" i="1"/>
  <c r="N45" i="1" s="1"/>
  <c r="M45" i="1" s="1"/>
  <c r="P45" i="1" s="1"/>
  <c r="V45" i="1" s="1"/>
  <c r="Y45" i="1"/>
  <c r="AI46" i="1"/>
  <c r="J47" i="1"/>
  <c r="N47" i="1" s="1"/>
  <c r="M47" i="1" s="1"/>
  <c r="P47" i="1" s="1"/>
  <c r="V47" i="1" s="1"/>
  <c r="Y47" i="1"/>
  <c r="AI48" i="1"/>
  <c r="J49" i="1"/>
  <c r="N49" i="1" s="1"/>
  <c r="M49" i="1" s="1"/>
  <c r="P49" i="1" s="1"/>
  <c r="V49" i="1" s="1"/>
  <c r="Y49" i="1"/>
  <c r="AI50" i="1"/>
  <c r="J51" i="1"/>
  <c r="N51" i="1" s="1"/>
  <c r="M51" i="1" s="1"/>
  <c r="P51" i="1" s="1"/>
  <c r="V51" i="1" s="1"/>
  <c r="Y51" i="1"/>
  <c r="K53" i="1"/>
  <c r="J53" i="1" s="1"/>
  <c r="AH55" i="1"/>
  <c r="AH57" i="1"/>
  <c r="AI58" i="1"/>
  <c r="AG59" i="1"/>
  <c r="W38" i="1"/>
  <c r="Z38" i="1" s="1"/>
  <c r="AF38" i="1" s="1"/>
  <c r="AH39" i="1"/>
  <c r="W40" i="1"/>
  <c r="Z40" i="1" s="1"/>
  <c r="AF40" i="1" s="1"/>
  <c r="AH41" i="1"/>
  <c r="AQ41" i="1" s="1"/>
  <c r="W42" i="1"/>
  <c r="Z42" i="1" s="1"/>
  <c r="AF42" i="1" s="1"/>
  <c r="AH43" i="1"/>
  <c r="W44" i="1"/>
  <c r="Z44" i="1" s="1"/>
  <c r="AF44" i="1" s="1"/>
  <c r="AH45" i="1"/>
  <c r="AQ45" i="1" s="1"/>
  <c r="W46" i="1"/>
  <c r="Z46" i="1" s="1"/>
  <c r="AF46" i="1" s="1"/>
  <c r="AH47" i="1"/>
  <c r="W48" i="1"/>
  <c r="Z48" i="1" s="1"/>
  <c r="AF48" i="1" s="1"/>
  <c r="AH49" i="1"/>
  <c r="W50" i="1"/>
  <c r="Z50" i="1" s="1"/>
  <c r="AF50" i="1" s="1"/>
  <c r="AH51" i="1"/>
  <c r="AQ51" i="1" s="1"/>
  <c r="J54" i="1"/>
  <c r="N54" i="1" s="1"/>
  <c r="AI55" i="1"/>
  <c r="J56" i="1"/>
  <c r="AI57" i="1"/>
  <c r="J58" i="1"/>
  <c r="W58" i="1"/>
  <c r="Z58" i="1" s="1"/>
  <c r="AF58" i="1" s="1"/>
  <c r="AG60" i="1"/>
  <c r="AH61" i="1"/>
  <c r="AI62" i="1"/>
  <c r="AH62" i="1"/>
  <c r="J62" i="1"/>
  <c r="N62" i="1" s="1"/>
  <c r="W62" i="1"/>
  <c r="Z62" i="1" s="1"/>
  <c r="AF62" i="1" s="1"/>
  <c r="AG63" i="1"/>
  <c r="AQ63" i="1" s="1"/>
  <c r="AH79" i="1"/>
  <c r="J30" i="1"/>
  <c r="N30" i="1" s="1"/>
  <c r="J32" i="1"/>
  <c r="J34" i="1"/>
  <c r="J36" i="1"/>
  <c r="J38" i="1"/>
  <c r="N38" i="1" s="1"/>
  <c r="J40" i="1"/>
  <c r="J42" i="1"/>
  <c r="N42" i="1" s="1"/>
  <c r="J44" i="1"/>
  <c r="N44" i="1" s="1"/>
  <c r="J46" i="1"/>
  <c r="N46" i="1" s="1"/>
  <c r="J48" i="1"/>
  <c r="J50" i="1"/>
  <c r="N50" i="1" s="1"/>
  <c r="N55" i="1"/>
  <c r="M55" i="1" s="1"/>
  <c r="N57" i="1"/>
  <c r="M57" i="1" s="1"/>
  <c r="AI59" i="1"/>
  <c r="AH59" i="1"/>
  <c r="J59" i="1"/>
  <c r="N59" i="1" s="1"/>
  <c r="AI61" i="1"/>
  <c r="AI66" i="1"/>
  <c r="AH74" i="1"/>
  <c r="AH65" i="1"/>
  <c r="W66" i="1"/>
  <c r="Z66" i="1" s="1"/>
  <c r="AF66" i="1" s="1"/>
  <c r="AH67" i="1"/>
  <c r="W68" i="1"/>
  <c r="Z68" i="1" s="1"/>
  <c r="AF68" i="1" s="1"/>
  <c r="K69" i="1"/>
  <c r="AH69" i="1" s="1"/>
  <c r="AG69" i="1"/>
  <c r="AH70" i="1"/>
  <c r="AI71" i="1"/>
  <c r="AQ71" i="1" s="1"/>
  <c r="J72" i="1"/>
  <c r="N72" i="1" s="1"/>
  <c r="W72" i="1"/>
  <c r="Z72" i="1" s="1"/>
  <c r="AF72" i="1" s="1"/>
  <c r="K73" i="1"/>
  <c r="AH73" i="1" s="1"/>
  <c r="AG73" i="1"/>
  <c r="AI74" i="1"/>
  <c r="J75" i="1"/>
  <c r="N75" i="1" s="1"/>
  <c r="M75" i="1" s="1"/>
  <c r="AI76" i="1"/>
  <c r="J77" i="1"/>
  <c r="N77" i="1" s="1"/>
  <c r="M77" i="1" s="1"/>
  <c r="W81" i="1"/>
  <c r="Z81" i="1" s="1"/>
  <c r="AF81" i="1" s="1"/>
  <c r="AI81" i="1"/>
  <c r="J81" i="1"/>
  <c r="N81" i="1" s="1"/>
  <c r="M81" i="1" s="1"/>
  <c r="P81" i="1" s="1"/>
  <c r="V81" i="1" s="1"/>
  <c r="AH81" i="1"/>
  <c r="AQ81" i="1" s="1"/>
  <c r="AI82" i="1"/>
  <c r="AG82" i="1"/>
  <c r="AN108" i="1"/>
  <c r="AN112" i="1" s="1"/>
  <c r="AI65" i="1"/>
  <c r="J66" i="1"/>
  <c r="AI67" i="1"/>
  <c r="J68" i="1"/>
  <c r="N68" i="1" s="1"/>
  <c r="M68" i="1" s="1"/>
  <c r="P68" i="1" s="1"/>
  <c r="V68" i="1" s="1"/>
  <c r="AI70" i="1"/>
  <c r="J71" i="1"/>
  <c r="W71" i="1"/>
  <c r="Z71" i="1" s="1"/>
  <c r="AF71" i="1" s="1"/>
  <c r="AH75" i="1"/>
  <c r="AH77" i="1"/>
  <c r="AI78" i="1"/>
  <c r="AH78" i="1"/>
  <c r="J78" i="1"/>
  <c r="W78" i="1"/>
  <c r="Z78" i="1" s="1"/>
  <c r="AF78" i="1" s="1"/>
  <c r="AH86" i="1"/>
  <c r="AI60" i="1"/>
  <c r="J61" i="1"/>
  <c r="W61" i="1"/>
  <c r="Z61" i="1" s="1"/>
  <c r="AF61" i="1" s="1"/>
  <c r="AH66" i="1"/>
  <c r="AQ66" i="1" s="1"/>
  <c r="AH68" i="1"/>
  <c r="AQ68" i="1" s="1"/>
  <c r="AI69" i="1"/>
  <c r="J70" i="1"/>
  <c r="N70" i="1" s="1"/>
  <c r="W70" i="1"/>
  <c r="Z70" i="1" s="1"/>
  <c r="AF70" i="1" s="1"/>
  <c r="AH72" i="1"/>
  <c r="AQ72" i="1" s="1"/>
  <c r="AI73" i="1"/>
  <c r="J74" i="1"/>
  <c r="AI75" i="1"/>
  <c r="J76" i="1"/>
  <c r="AI77" i="1"/>
  <c r="N78" i="1"/>
  <c r="AG79" i="1"/>
  <c r="AH82" i="1"/>
  <c r="Z85" i="1"/>
  <c r="L108" i="1"/>
  <c r="L112" i="1" s="1"/>
  <c r="AE108" i="1"/>
  <c r="AT84" i="1"/>
  <c r="J60" i="1"/>
  <c r="N60" i="1" s="1"/>
  <c r="J63" i="1"/>
  <c r="J65" i="1"/>
  <c r="J67" i="1"/>
  <c r="N67" i="1" s="1"/>
  <c r="J73" i="1"/>
  <c r="N73" i="1" s="1"/>
  <c r="AH80" i="1"/>
  <c r="AI80" i="1"/>
  <c r="AM108" i="1"/>
  <c r="AM112" i="1" s="1"/>
  <c r="AH83" i="1"/>
  <c r="R108" i="1"/>
  <c r="R112" i="1" s="1"/>
  <c r="AD108" i="1"/>
  <c r="AD112" i="1" s="1"/>
  <c r="AP108" i="1"/>
  <c r="AP112" i="1" s="1"/>
  <c r="J87" i="1"/>
  <c r="N87" i="1" s="1"/>
  <c r="W87" i="1"/>
  <c r="Z87" i="1" s="1"/>
  <c r="AF87" i="1" s="1"/>
  <c r="K88" i="1"/>
  <c r="J88" i="1" s="1"/>
  <c r="N88" i="1" s="1"/>
  <c r="M88" i="1" s="1"/>
  <c r="P88" i="1" s="1"/>
  <c r="V88" i="1" s="1"/>
  <c r="J91" i="1"/>
  <c r="N91" i="1" s="1"/>
  <c r="W91" i="1"/>
  <c r="Z91" i="1" s="1"/>
  <c r="AF91" i="1" s="1"/>
  <c r="K92" i="1"/>
  <c r="AH92" i="1" s="1"/>
  <c r="AU111" i="1"/>
  <c r="AI79" i="1"/>
  <c r="J80" i="1"/>
  <c r="J82" i="1"/>
  <c r="N82" i="1" s="1"/>
  <c r="AI83" i="1"/>
  <c r="C108" i="1"/>
  <c r="C112" i="1" s="1"/>
  <c r="G84" i="1"/>
  <c r="O108" i="1"/>
  <c r="O112" i="1" s="1"/>
  <c r="S108" i="1"/>
  <c r="S112" i="1" s="1"/>
  <c r="AA108" i="1"/>
  <c r="AA112" i="1" s="1"/>
  <c r="AI85" i="1"/>
  <c r="J86" i="1"/>
  <c r="W86" i="1"/>
  <c r="Z86" i="1" s="1"/>
  <c r="AF86" i="1" s="1"/>
  <c r="AI89" i="1"/>
  <c r="W95" i="1"/>
  <c r="Z95" i="1" s="1"/>
  <c r="AF95" i="1" s="1"/>
  <c r="AG97" i="1"/>
  <c r="AH98" i="1"/>
  <c r="AQ98" i="1" s="1"/>
  <c r="AH99" i="1"/>
  <c r="AI99" i="1"/>
  <c r="J99" i="1"/>
  <c r="N99" i="1" s="1"/>
  <c r="W99" i="1"/>
  <c r="Z99" i="1" s="1"/>
  <c r="AF99" i="1" s="1"/>
  <c r="AH103" i="1"/>
  <c r="J79" i="1"/>
  <c r="W83" i="1"/>
  <c r="Z83" i="1" s="1"/>
  <c r="AF83" i="1" s="1"/>
  <c r="D108" i="1"/>
  <c r="D112" i="1" s="1"/>
  <c r="H84" i="1"/>
  <c r="T108" i="1"/>
  <c r="T112" i="1" s="1"/>
  <c r="X108" i="1"/>
  <c r="X112" i="1" s="1"/>
  <c r="AB108" i="1"/>
  <c r="AB112" i="1" s="1"/>
  <c r="AR84" i="1"/>
  <c r="AR108" i="1" s="1"/>
  <c r="AR112" i="1" s="1"/>
  <c r="AG86" i="1"/>
  <c r="AH87" i="1"/>
  <c r="AQ87" i="1" s="1"/>
  <c r="AI88" i="1"/>
  <c r="K90" i="1"/>
  <c r="AH90" i="1" s="1"/>
  <c r="AG90" i="1"/>
  <c r="AH91" i="1"/>
  <c r="AQ91" i="1" s="1"/>
  <c r="AI96" i="1"/>
  <c r="AH96" i="1"/>
  <c r="AQ96" i="1" s="1"/>
  <c r="J96" i="1"/>
  <c r="N96" i="1" s="1"/>
  <c r="M96" i="1" s="1"/>
  <c r="P96" i="1" s="1"/>
  <c r="V96" i="1" s="1"/>
  <c r="J83" i="1"/>
  <c r="N83" i="1" s="1"/>
  <c r="M83" i="1" s="1"/>
  <c r="P83" i="1" s="1"/>
  <c r="V83" i="1" s="1"/>
  <c r="E108" i="1"/>
  <c r="E112" i="1" s="1"/>
  <c r="I108" i="1"/>
  <c r="I112" i="1" s="1"/>
  <c r="Q108" i="1"/>
  <c r="Q112" i="1" s="1"/>
  <c r="U108" i="1"/>
  <c r="AC108" i="1"/>
  <c r="AC112" i="1" s="1"/>
  <c r="AK108" i="1"/>
  <c r="AK112" i="1" s="1"/>
  <c r="K85" i="1"/>
  <c r="J85" i="1" s="1"/>
  <c r="K89" i="1"/>
  <c r="AH89" i="1" s="1"/>
  <c r="AQ89" i="1" s="1"/>
  <c r="AI92" i="1"/>
  <c r="J92" i="1"/>
  <c r="AH95" i="1"/>
  <c r="AQ95" i="1" s="1"/>
  <c r="J95" i="1"/>
  <c r="N95" i="1" s="1"/>
  <c r="W100" i="1"/>
  <c r="Z100" i="1" s="1"/>
  <c r="AF100" i="1" s="1"/>
  <c r="K101" i="1"/>
  <c r="AH101" i="1" s="1"/>
  <c r="AG101" i="1"/>
  <c r="AH102" i="1"/>
  <c r="AQ102" i="1" s="1"/>
  <c r="AI103" i="1"/>
  <c r="W104" i="1"/>
  <c r="Z104" i="1" s="1"/>
  <c r="AF104" i="1" s="1"/>
  <c r="K105" i="1"/>
  <c r="AH105" i="1" s="1"/>
  <c r="AQ105" i="1" s="1"/>
  <c r="W106" i="1"/>
  <c r="Z106" i="1" s="1"/>
  <c r="AF106" i="1" s="1"/>
  <c r="K107" i="1"/>
  <c r="AH107" i="1" s="1"/>
  <c r="AQ107" i="1" s="1"/>
  <c r="K100" i="1"/>
  <c r="J100" i="1" s="1"/>
  <c r="J103" i="1"/>
  <c r="N103" i="1" s="1"/>
  <c r="W103" i="1"/>
  <c r="Z103" i="1" s="1"/>
  <c r="AF103" i="1" s="1"/>
  <c r="K104" i="1"/>
  <c r="J104" i="1" s="1"/>
  <c r="J106" i="1"/>
  <c r="N106" i="1" s="1"/>
  <c r="M106" i="1" s="1"/>
  <c r="P106" i="1" s="1"/>
  <c r="V106" i="1" s="1"/>
  <c r="Z111" i="1"/>
  <c r="AI93" i="1"/>
  <c r="AQ93" i="1" s="1"/>
  <c r="J94" i="1"/>
  <c r="N94" i="1" s="1"/>
  <c r="W94" i="1"/>
  <c r="Z94" i="1" s="1"/>
  <c r="AF94" i="1" s="1"/>
  <c r="AI97" i="1"/>
  <c r="J98" i="1"/>
  <c r="W98" i="1"/>
  <c r="Z98" i="1" s="1"/>
  <c r="AF98" i="1" s="1"/>
  <c r="AH100" i="1"/>
  <c r="AQ100" i="1" s="1"/>
  <c r="AI101" i="1"/>
  <c r="J102" i="1"/>
  <c r="N102" i="1" s="1"/>
  <c r="W102" i="1"/>
  <c r="Z102" i="1" s="1"/>
  <c r="AF102" i="1" s="1"/>
  <c r="W105" i="1"/>
  <c r="Z105" i="1" s="1"/>
  <c r="AF105" i="1" s="1"/>
  <c r="AH106" i="1"/>
  <c r="AQ106" i="1" s="1"/>
  <c r="W107" i="1"/>
  <c r="Z107" i="1" s="1"/>
  <c r="AF107" i="1" s="1"/>
  <c r="J93" i="1"/>
  <c r="N93" i="1" s="1"/>
  <c r="M93" i="1" s="1"/>
  <c r="P93" i="1" s="1"/>
  <c r="V93" i="1" s="1"/>
  <c r="J97" i="1"/>
  <c r="N97" i="1" s="1"/>
  <c r="M87" i="1" l="1"/>
  <c r="P87" i="1" s="1"/>
  <c r="V87" i="1" s="1"/>
  <c r="AH88" i="1"/>
  <c r="AQ75" i="1"/>
  <c r="Z39" i="1"/>
  <c r="AF39" i="1" s="1"/>
  <c r="AQ36" i="2"/>
  <c r="AT15" i="1"/>
  <c r="AQ58" i="1"/>
  <c r="Z45" i="2"/>
  <c r="AF45" i="2" s="1"/>
  <c r="AH34" i="2"/>
  <c r="AT73" i="3"/>
  <c r="AU93" i="1"/>
  <c r="AQ103" i="1"/>
  <c r="AQ80" i="1"/>
  <c r="AI34" i="2"/>
  <c r="K32" i="3"/>
  <c r="Y62" i="3"/>
  <c r="E28" i="3"/>
  <c r="AS28" i="3"/>
  <c r="AT28" i="3" s="1"/>
  <c r="K37" i="3"/>
  <c r="D24" i="3"/>
  <c r="AT100" i="2"/>
  <c r="AL46" i="3"/>
  <c r="Y93" i="3"/>
  <c r="AK93" i="3"/>
  <c r="AS84" i="2"/>
  <c r="AQ42" i="1"/>
  <c r="Z37" i="1"/>
  <c r="AF37" i="1" s="1"/>
  <c r="W34" i="2"/>
  <c r="Z34" i="2" s="1"/>
  <c r="AF34" i="2" s="1"/>
  <c r="AI19" i="2"/>
  <c r="AK62" i="3"/>
  <c r="AL28" i="3"/>
  <c r="AL37" i="3"/>
  <c r="AO46" i="3"/>
  <c r="AK42" i="3"/>
  <c r="L93" i="3"/>
  <c r="AS89" i="3"/>
  <c r="AO89" i="3"/>
  <c r="Z47" i="1"/>
  <c r="AF47" i="1" s="1"/>
  <c r="AR52" i="2"/>
  <c r="H37" i="3"/>
  <c r="AG37" i="3" s="1"/>
  <c r="AN15" i="2"/>
  <c r="AK46" i="3"/>
  <c r="K46" i="3"/>
  <c r="AR42" i="3"/>
  <c r="K65" i="3"/>
  <c r="U108" i="2"/>
  <c r="AO108" i="1"/>
  <c r="AO112" i="1" s="1"/>
  <c r="AT104" i="2"/>
  <c r="AT96" i="2"/>
  <c r="H46" i="3"/>
  <c r="AG46" i="3" s="1"/>
  <c r="AM42" i="3"/>
  <c r="AM46" i="3"/>
  <c r="H42" i="3"/>
  <c r="AG42" i="3" s="1"/>
  <c r="AR89" i="3"/>
  <c r="AU111" i="3"/>
  <c r="J70" i="2"/>
  <c r="Z32" i="1"/>
  <c r="AF32" i="1" s="1"/>
  <c r="H86" i="3"/>
  <c r="AG86" i="3" s="1"/>
  <c r="I86" i="3"/>
  <c r="I107" i="3"/>
  <c r="H107" i="3"/>
  <c r="H104" i="3"/>
  <c r="I104" i="3"/>
  <c r="AQ106" i="2"/>
  <c r="AI100" i="2"/>
  <c r="AQ100" i="2" s="1"/>
  <c r="AI96" i="2"/>
  <c r="W89" i="2"/>
  <c r="AO84" i="2"/>
  <c r="AT101" i="2"/>
  <c r="AL107" i="3"/>
  <c r="E107" i="3"/>
  <c r="AN102" i="3"/>
  <c r="AJ104" i="3"/>
  <c r="AL104" i="3"/>
  <c r="AN105" i="3"/>
  <c r="AK105" i="3"/>
  <c r="K86" i="3"/>
  <c r="K89" i="3"/>
  <c r="J89" i="2"/>
  <c r="N89" i="2" s="1"/>
  <c r="AK89" i="3"/>
  <c r="AJ89" i="3"/>
  <c r="H93" i="3"/>
  <c r="AG93" i="3" s="1"/>
  <c r="I93" i="3"/>
  <c r="H90" i="3"/>
  <c r="AG90" i="3" s="1"/>
  <c r="I90" i="3"/>
  <c r="H106" i="3"/>
  <c r="I106" i="3"/>
  <c r="I95" i="3"/>
  <c r="H95" i="3"/>
  <c r="AG95" i="3" s="1"/>
  <c r="H92" i="3"/>
  <c r="I92" i="3"/>
  <c r="H85" i="3"/>
  <c r="AG85" i="3" s="1"/>
  <c r="I85" i="3"/>
  <c r="AH96" i="2"/>
  <c r="AQ96" i="2" s="1"/>
  <c r="J104" i="2"/>
  <c r="N104" i="2" s="1"/>
  <c r="M104" i="2" s="1"/>
  <c r="AN84" i="2"/>
  <c r="AG107" i="3"/>
  <c r="Y107" i="3"/>
  <c r="Y102" i="3"/>
  <c r="AN104" i="3"/>
  <c r="AJ105" i="3"/>
  <c r="AT92" i="2"/>
  <c r="H97" i="3"/>
  <c r="I97" i="3"/>
  <c r="H94" i="3"/>
  <c r="I94" i="3"/>
  <c r="I99" i="3"/>
  <c r="H99" i="3"/>
  <c r="AG99" i="3" s="1"/>
  <c r="H96" i="3"/>
  <c r="I96" i="3"/>
  <c r="H89" i="3"/>
  <c r="I89" i="3"/>
  <c r="J89" i="3" s="1"/>
  <c r="AO105" i="3"/>
  <c r="H105" i="3"/>
  <c r="AG105" i="3" s="1"/>
  <c r="I105" i="3"/>
  <c r="H102" i="3"/>
  <c r="AG102" i="3" s="1"/>
  <c r="I102" i="3"/>
  <c r="I91" i="3"/>
  <c r="H91" i="3"/>
  <c r="H88" i="3"/>
  <c r="I88" i="3"/>
  <c r="AH104" i="2"/>
  <c r="J100" i="2"/>
  <c r="N100" i="2" s="1"/>
  <c r="M100" i="2" s="1"/>
  <c r="AM107" i="3"/>
  <c r="AK107" i="3"/>
  <c r="L102" i="3"/>
  <c r="AS104" i="3"/>
  <c r="AM86" i="3"/>
  <c r="E105" i="3"/>
  <c r="AM105" i="3"/>
  <c r="L89" i="3"/>
  <c r="AR101" i="3"/>
  <c r="AT101" i="3" s="1"/>
  <c r="H101" i="3"/>
  <c r="I101" i="3"/>
  <c r="H98" i="3"/>
  <c r="I98" i="3"/>
  <c r="I87" i="3"/>
  <c r="H87" i="3"/>
  <c r="AN103" i="3"/>
  <c r="I103" i="3"/>
  <c r="H103" i="3"/>
  <c r="AG103" i="3" s="1"/>
  <c r="H100" i="3"/>
  <c r="AG100" i="3" s="1"/>
  <c r="I100" i="3"/>
  <c r="J77" i="2"/>
  <c r="I54" i="3"/>
  <c r="H54" i="3"/>
  <c r="I56" i="3"/>
  <c r="H56" i="3"/>
  <c r="Z81" i="2"/>
  <c r="AF81" i="2" s="1"/>
  <c r="K70" i="3"/>
  <c r="E70" i="3"/>
  <c r="AJ54" i="3"/>
  <c r="Y54" i="3"/>
  <c r="AL54" i="3"/>
  <c r="AT58" i="2"/>
  <c r="I58" i="3"/>
  <c r="H58" i="3"/>
  <c r="I74" i="3"/>
  <c r="H74" i="3"/>
  <c r="H60" i="3"/>
  <c r="I60" i="3"/>
  <c r="H76" i="3"/>
  <c r="AG76" i="3" s="1"/>
  <c r="I76" i="3"/>
  <c r="AS65" i="3"/>
  <c r="AT65" i="3" s="1"/>
  <c r="I65" i="3"/>
  <c r="H65" i="3"/>
  <c r="AG65" i="3" s="1"/>
  <c r="I70" i="3"/>
  <c r="H70" i="3"/>
  <c r="AG70" i="3" s="1"/>
  <c r="H72" i="3"/>
  <c r="AG72" i="3" s="1"/>
  <c r="I72" i="3"/>
  <c r="Z69" i="2"/>
  <c r="AF69" i="2" s="1"/>
  <c r="AJ70" i="3"/>
  <c r="L70" i="3"/>
  <c r="AN72" i="3"/>
  <c r="AM54" i="3"/>
  <c r="AS54" i="3"/>
  <c r="AT54" i="3" s="1"/>
  <c r="AK54" i="3"/>
  <c r="I62" i="3"/>
  <c r="H62" i="3"/>
  <c r="AJ78" i="3"/>
  <c r="I78" i="3"/>
  <c r="H78" i="3"/>
  <c r="AG78" i="3" s="1"/>
  <c r="H64" i="3"/>
  <c r="I64" i="3"/>
  <c r="H80" i="3"/>
  <c r="AG80" i="3" s="1"/>
  <c r="I80" i="3"/>
  <c r="AI80" i="3" s="1"/>
  <c r="J53" i="2"/>
  <c r="AK70" i="3"/>
  <c r="AN70" i="3"/>
  <c r="AL70" i="3"/>
  <c r="AR56" i="3"/>
  <c r="AK72" i="3"/>
  <c r="AN54" i="3"/>
  <c r="D52" i="3"/>
  <c r="AO54" i="3"/>
  <c r="AT82" i="2"/>
  <c r="AT70" i="2"/>
  <c r="I66" i="3"/>
  <c r="H66" i="3"/>
  <c r="AG66" i="3" s="1"/>
  <c r="Y82" i="3"/>
  <c r="I82" i="3"/>
  <c r="H82" i="3"/>
  <c r="AG82" i="3" s="1"/>
  <c r="H68" i="3"/>
  <c r="I68" i="3"/>
  <c r="AK29" i="2"/>
  <c r="AO29" i="2"/>
  <c r="AI41" i="2"/>
  <c r="Z44" i="2"/>
  <c r="AF44" i="2" s="1"/>
  <c r="AS29" i="2"/>
  <c r="AQ88" i="1"/>
  <c r="AH70" i="2"/>
  <c r="AQ70" i="2" s="1"/>
  <c r="W70" i="2"/>
  <c r="Z70" i="2" s="1"/>
  <c r="AF70" i="2" s="1"/>
  <c r="N96" i="2"/>
  <c r="M96" i="2" s="1"/>
  <c r="P96" i="2" s="1"/>
  <c r="V96" i="2" s="1"/>
  <c r="AI75" i="3"/>
  <c r="AH45" i="2"/>
  <c r="J45" i="2"/>
  <c r="AH62" i="2"/>
  <c r="AQ62" i="2" s="1"/>
  <c r="J62" i="2"/>
  <c r="AI62" i="2"/>
  <c r="G24" i="2"/>
  <c r="K27" i="2"/>
  <c r="AH27" i="2" s="1"/>
  <c r="AN95" i="3"/>
  <c r="L95" i="3"/>
  <c r="AL95" i="3"/>
  <c r="Y95" i="3"/>
  <c r="AS95" i="3"/>
  <c r="AK95" i="3"/>
  <c r="E95" i="3"/>
  <c r="AO95" i="3"/>
  <c r="AR95" i="3"/>
  <c r="AJ95" i="3"/>
  <c r="AM95" i="3"/>
  <c r="K95" i="3"/>
  <c r="AK56" i="3"/>
  <c r="K56" i="3"/>
  <c r="AO56" i="3"/>
  <c r="Y56" i="3"/>
  <c r="AS56" i="3"/>
  <c r="AT56" i="3" s="1"/>
  <c r="AL56" i="3"/>
  <c r="E56" i="3"/>
  <c r="W56" i="3" s="1"/>
  <c r="Z56" i="3" s="1"/>
  <c r="AF56" i="3" s="1"/>
  <c r="AJ56" i="3"/>
  <c r="AN56" i="3"/>
  <c r="AM56" i="3"/>
  <c r="L72" i="3"/>
  <c r="Y72" i="3"/>
  <c r="AJ72" i="3"/>
  <c r="AR72" i="3"/>
  <c r="K72" i="3"/>
  <c r="E72" i="3"/>
  <c r="AO72" i="3"/>
  <c r="AS72" i="3"/>
  <c r="AM72" i="3"/>
  <c r="AR38" i="3"/>
  <c r="AO38" i="3"/>
  <c r="AK38" i="3"/>
  <c r="E38" i="3"/>
  <c r="AS38" i="3"/>
  <c r="AT38" i="3" s="1"/>
  <c r="AL38" i="3"/>
  <c r="I38" i="3"/>
  <c r="K38" i="3"/>
  <c r="H38" i="3"/>
  <c r="AG38" i="3" s="1"/>
  <c r="AJ38" i="3"/>
  <c r="AN92" i="3"/>
  <c r="Y92" i="3"/>
  <c r="AG92" i="3"/>
  <c r="AK92" i="3"/>
  <c r="E92" i="3"/>
  <c r="AJ92" i="3"/>
  <c r="AR92" i="3"/>
  <c r="AT92" i="3" s="1"/>
  <c r="L92" i="3"/>
  <c r="AO92" i="3"/>
  <c r="K92" i="3"/>
  <c r="AM92" i="3"/>
  <c r="AL85" i="3"/>
  <c r="AS85" i="3"/>
  <c r="AT85" i="3" s="1"/>
  <c r="E85" i="3"/>
  <c r="AN85" i="3"/>
  <c r="Y85" i="3"/>
  <c r="AK85" i="3"/>
  <c r="AO85" i="3"/>
  <c r="K85" i="3"/>
  <c r="J85" i="3" s="1"/>
  <c r="AM85" i="3"/>
  <c r="D84" i="3"/>
  <c r="AR85" i="3"/>
  <c r="L85" i="3"/>
  <c r="K39" i="3"/>
  <c r="AL39" i="3"/>
  <c r="AO39" i="3"/>
  <c r="AR39" i="3"/>
  <c r="AJ39" i="3"/>
  <c r="E39" i="3"/>
  <c r="AN39" i="3"/>
  <c r="AK39" i="3"/>
  <c r="H39" i="3"/>
  <c r="AG39" i="3" s="1"/>
  <c r="AS39" i="3"/>
  <c r="AQ97" i="1"/>
  <c r="M91" i="1"/>
  <c r="P91" i="1" s="1"/>
  <c r="V91" i="1" s="1"/>
  <c r="AU91" i="1" s="1"/>
  <c r="U112" i="2"/>
  <c r="Z61" i="2"/>
  <c r="AF61" i="2" s="1"/>
  <c r="AI60" i="2"/>
  <c r="AQ60" i="2" s="1"/>
  <c r="J60" i="2"/>
  <c r="N60" i="2" s="1"/>
  <c r="AN29" i="2"/>
  <c r="D108" i="2"/>
  <c r="AR18" i="3"/>
  <c r="G18" i="3"/>
  <c r="G15" i="3" s="1"/>
  <c r="AL18" i="3"/>
  <c r="AL97" i="3"/>
  <c r="AN97" i="3"/>
  <c r="E97" i="3"/>
  <c r="AO97" i="3"/>
  <c r="AS97" i="3"/>
  <c r="AR97" i="3"/>
  <c r="AM97" i="3"/>
  <c r="AG97" i="3"/>
  <c r="L97" i="3"/>
  <c r="K97" i="3"/>
  <c r="J97" i="3" s="1"/>
  <c r="N97" i="3" s="1"/>
  <c r="Y97" i="3"/>
  <c r="L58" i="3"/>
  <c r="AL58" i="3"/>
  <c r="AG58" i="3"/>
  <c r="AN58" i="3"/>
  <c r="Y58" i="3"/>
  <c r="AJ58" i="3"/>
  <c r="AR58" i="3"/>
  <c r="AT58" i="3" s="1"/>
  <c r="AO58" i="3"/>
  <c r="K58" i="3"/>
  <c r="E58" i="3"/>
  <c r="J58" i="3" s="1"/>
  <c r="N58" i="3" s="1"/>
  <c r="AJ74" i="3"/>
  <c r="AR74" i="3"/>
  <c r="AT74" i="3" s="1"/>
  <c r="K74" i="3"/>
  <c r="E74" i="3"/>
  <c r="AM74" i="3"/>
  <c r="AO74" i="3"/>
  <c r="AN74" i="3"/>
  <c r="AN52" i="3" s="1"/>
  <c r="AG74" i="3"/>
  <c r="AK74" i="3"/>
  <c r="AR36" i="3"/>
  <c r="AL36" i="3"/>
  <c r="AM36" i="3"/>
  <c r="H36" i="3"/>
  <c r="AG36" i="3" s="1"/>
  <c r="AK36" i="3"/>
  <c r="E36" i="3"/>
  <c r="AO36" i="3"/>
  <c r="AN36" i="3"/>
  <c r="K36" i="3"/>
  <c r="I36" i="3"/>
  <c r="AS36" i="3"/>
  <c r="AT36" i="3" s="1"/>
  <c r="AR30" i="3"/>
  <c r="AK30" i="3"/>
  <c r="K30" i="3"/>
  <c r="AM30" i="3"/>
  <c r="AS30" i="3"/>
  <c r="AS29" i="3" s="1"/>
  <c r="AL30" i="3"/>
  <c r="H30" i="3"/>
  <c r="AG30" i="3" s="1"/>
  <c r="E30" i="3"/>
  <c r="AO30" i="3"/>
  <c r="D29" i="3"/>
  <c r="I30" i="3"/>
  <c r="J30" i="3" s="1"/>
  <c r="AJ30" i="3"/>
  <c r="AJ29" i="3" s="1"/>
  <c r="AH53" i="2"/>
  <c r="AI53" i="2"/>
  <c r="AS94" i="3"/>
  <c r="AK94" i="3"/>
  <c r="E94" i="3"/>
  <c r="J94" i="3" s="1"/>
  <c r="AO94" i="3"/>
  <c r="AJ94" i="3"/>
  <c r="L94" i="3"/>
  <c r="AR94" i="3"/>
  <c r="AT94" i="3" s="1"/>
  <c r="AN94" i="3"/>
  <c r="AG94" i="3"/>
  <c r="Y94" i="3"/>
  <c r="K94" i="3"/>
  <c r="AL94" i="3"/>
  <c r="AM94" i="3"/>
  <c r="H33" i="3"/>
  <c r="AG33" i="3" s="1"/>
  <c r="AK33" i="3"/>
  <c r="AS33" i="3"/>
  <c r="AL33" i="3"/>
  <c r="E33" i="3"/>
  <c r="AR33" i="3"/>
  <c r="K33" i="3"/>
  <c r="AN33" i="3"/>
  <c r="AN49" i="3"/>
  <c r="I49" i="3"/>
  <c r="AO49" i="3"/>
  <c r="E49" i="3"/>
  <c r="AK49" i="3"/>
  <c r="AR49" i="3"/>
  <c r="K49" i="3"/>
  <c r="AM49" i="3"/>
  <c r="AJ49" i="3"/>
  <c r="H49" i="3"/>
  <c r="AG49" i="3" s="1"/>
  <c r="AS49" i="3"/>
  <c r="AQ49" i="1"/>
  <c r="Z35" i="1"/>
  <c r="AF35" i="1" s="1"/>
  <c r="AQ37" i="1"/>
  <c r="AU37" i="1" s="1"/>
  <c r="W78" i="2"/>
  <c r="Z78" i="2" s="1"/>
  <c r="AF78" i="2" s="1"/>
  <c r="J78" i="2"/>
  <c r="AH74" i="2"/>
  <c r="AI74" i="2"/>
  <c r="AQ74" i="2" s="1"/>
  <c r="W66" i="2"/>
  <c r="Z66" i="2" s="1"/>
  <c r="AF66" i="2" s="1"/>
  <c r="J66" i="2"/>
  <c r="AH66" i="2"/>
  <c r="W58" i="2"/>
  <c r="Z58" i="2" s="1"/>
  <c r="AF58" i="2" s="1"/>
  <c r="AH58" i="2"/>
  <c r="AI37" i="2"/>
  <c r="J37" i="2"/>
  <c r="AH37" i="2"/>
  <c r="AG33" i="2"/>
  <c r="AH33" i="2"/>
  <c r="Y42" i="2"/>
  <c r="W42" i="2"/>
  <c r="W50" i="3"/>
  <c r="Z50" i="3" s="1"/>
  <c r="AF50" i="3" s="1"/>
  <c r="Y50" i="3"/>
  <c r="AM15" i="2"/>
  <c r="AT73" i="2"/>
  <c r="AT81" i="3"/>
  <c r="J19" i="3"/>
  <c r="N19" i="3" s="1"/>
  <c r="M19" i="3" s="1"/>
  <c r="P19" i="3" s="1"/>
  <c r="V19" i="3" s="1"/>
  <c r="AE108" i="3"/>
  <c r="AI45" i="2"/>
  <c r="Y52" i="2"/>
  <c r="AT89" i="3"/>
  <c r="AN62" i="3"/>
  <c r="AG62" i="3"/>
  <c r="AJ62" i="3"/>
  <c r="AS62" i="3"/>
  <c r="AT62" i="3" s="1"/>
  <c r="AM40" i="3"/>
  <c r="H40" i="3"/>
  <c r="AG40" i="3" s="1"/>
  <c r="AR40" i="3"/>
  <c r="AT40" i="3" s="1"/>
  <c r="AL40" i="3"/>
  <c r="AO40" i="3"/>
  <c r="E40" i="3"/>
  <c r="AK40" i="3"/>
  <c r="G28" i="3"/>
  <c r="AO28" i="3"/>
  <c r="AO24" i="3" s="1"/>
  <c r="AN98" i="3"/>
  <c r="AG98" i="3"/>
  <c r="AL98" i="3"/>
  <c r="Y98" i="3"/>
  <c r="K98" i="3"/>
  <c r="AS98" i="3"/>
  <c r="AK98" i="3"/>
  <c r="E98" i="3"/>
  <c r="AO98" i="3"/>
  <c r="L98" i="3"/>
  <c r="AJ98" i="3"/>
  <c r="AR98" i="3"/>
  <c r="AS99" i="3"/>
  <c r="AK99" i="3"/>
  <c r="E99" i="3"/>
  <c r="AR99" i="3"/>
  <c r="L99" i="3"/>
  <c r="AL99" i="3"/>
  <c r="AN99" i="3"/>
  <c r="Y99" i="3"/>
  <c r="AM99" i="3"/>
  <c r="K99" i="3"/>
  <c r="L60" i="3"/>
  <c r="AL60" i="3"/>
  <c r="AL76" i="3"/>
  <c r="AO76" i="3"/>
  <c r="K76" i="3"/>
  <c r="AS96" i="3"/>
  <c r="AK96" i="3"/>
  <c r="E96" i="3"/>
  <c r="AO96" i="3"/>
  <c r="AJ96" i="3"/>
  <c r="L96" i="3"/>
  <c r="AR96" i="3"/>
  <c r="AN96" i="3"/>
  <c r="AG96" i="3"/>
  <c r="AL96" i="3"/>
  <c r="K96" i="3"/>
  <c r="AH96" i="3" s="1"/>
  <c r="Y96" i="3"/>
  <c r="K43" i="3"/>
  <c r="AO43" i="3"/>
  <c r="AL43" i="3"/>
  <c r="AQ68" i="2"/>
  <c r="AQ91" i="2"/>
  <c r="Y84" i="2"/>
  <c r="AH50" i="3"/>
  <c r="AH54" i="2"/>
  <c r="AN52" i="2"/>
  <c r="AL89" i="3"/>
  <c r="E89" i="3"/>
  <c r="AN89" i="3"/>
  <c r="AO66" i="3"/>
  <c r="Y66" i="3"/>
  <c r="AS66" i="3"/>
  <c r="AM66" i="3"/>
  <c r="AK66" i="3"/>
  <c r="E66" i="3"/>
  <c r="W66" i="3" s="1"/>
  <c r="AR66" i="3"/>
  <c r="AR44" i="3"/>
  <c r="AT44" i="3" s="1"/>
  <c r="AL44" i="3"/>
  <c r="AM44" i="3"/>
  <c r="H44" i="3"/>
  <c r="AG44" i="3" s="1"/>
  <c r="AK44" i="3"/>
  <c r="E44" i="3"/>
  <c r="AO44" i="3"/>
  <c r="AN86" i="3"/>
  <c r="L86" i="3"/>
  <c r="AL86" i="3"/>
  <c r="AS86" i="3"/>
  <c r="AK86" i="3"/>
  <c r="Y86" i="3"/>
  <c r="E86" i="3"/>
  <c r="AJ86" i="3"/>
  <c r="AR86" i="3"/>
  <c r="AO86" i="3"/>
  <c r="AM102" i="3"/>
  <c r="AJ102" i="3"/>
  <c r="E102" i="3"/>
  <c r="AS102" i="3"/>
  <c r="AR102" i="3"/>
  <c r="AO102" i="3"/>
  <c r="AS87" i="3"/>
  <c r="AK87" i="3"/>
  <c r="Y87" i="3"/>
  <c r="E87" i="3"/>
  <c r="AO87" i="3"/>
  <c r="AJ87" i="3"/>
  <c r="AR87" i="3"/>
  <c r="AN87" i="3"/>
  <c r="AG87" i="3"/>
  <c r="L87" i="3"/>
  <c r="AL87" i="3"/>
  <c r="AO64" i="3"/>
  <c r="AG64" i="3"/>
  <c r="AM64" i="3"/>
  <c r="Y64" i="3"/>
  <c r="E64" i="3"/>
  <c r="W64" i="3" s="1"/>
  <c r="Z64" i="3" s="1"/>
  <c r="AF64" i="3" s="1"/>
  <c r="AL64" i="3"/>
  <c r="K64" i="3"/>
  <c r="AR64" i="3"/>
  <c r="AS64" i="3"/>
  <c r="AS52" i="3" s="1"/>
  <c r="AK64" i="3"/>
  <c r="AR80" i="3"/>
  <c r="AT80" i="3" s="1"/>
  <c r="AL80" i="3"/>
  <c r="AM100" i="3"/>
  <c r="AS100" i="3"/>
  <c r="AK100" i="3"/>
  <c r="AR100" i="3"/>
  <c r="AJ100" i="3"/>
  <c r="K100" i="3"/>
  <c r="E100" i="3"/>
  <c r="AO100" i="3"/>
  <c r="K31" i="3"/>
  <c r="J31" i="3" s="1"/>
  <c r="AL31" i="3"/>
  <c r="AO31" i="3"/>
  <c r="Z31" i="1"/>
  <c r="AF31" i="1" s="1"/>
  <c r="AQ56" i="2"/>
  <c r="AQ86" i="1"/>
  <c r="AQ92" i="1"/>
  <c r="AU81" i="1"/>
  <c r="AQ76" i="1"/>
  <c r="AQ47" i="1"/>
  <c r="AQ43" i="1"/>
  <c r="AQ39" i="1"/>
  <c r="AU39" i="1" s="1"/>
  <c r="AQ22" i="1"/>
  <c r="AH92" i="2"/>
  <c r="AQ92" i="2" s="1"/>
  <c r="J88" i="2"/>
  <c r="J46" i="2"/>
  <c r="N46" i="2" s="1"/>
  <c r="M46" i="2" s="1"/>
  <c r="P46" i="2" s="1"/>
  <c r="V46" i="2" s="1"/>
  <c r="W38" i="2"/>
  <c r="Z38" i="2" s="1"/>
  <c r="AF38" i="2" s="1"/>
  <c r="AT38" i="2"/>
  <c r="AT29" i="2" s="1"/>
  <c r="L52" i="2"/>
  <c r="Z73" i="2"/>
  <c r="AF73" i="2" s="1"/>
  <c r="AJ101" i="3"/>
  <c r="AG101" i="3"/>
  <c r="AM89" i="3"/>
  <c r="AM87" i="3"/>
  <c r="K105" i="3"/>
  <c r="J105" i="3" s="1"/>
  <c r="N105" i="3" s="1"/>
  <c r="M105" i="3" s="1"/>
  <c r="P105" i="3" s="1"/>
  <c r="V105" i="3" s="1"/>
  <c r="AS105" i="3"/>
  <c r="AT105" i="3" s="1"/>
  <c r="Y103" i="3"/>
  <c r="K103" i="3"/>
  <c r="AM103" i="3"/>
  <c r="AL103" i="3"/>
  <c r="J77" i="3"/>
  <c r="J76" i="3"/>
  <c r="N76" i="3" s="1"/>
  <c r="M76" i="3" s="1"/>
  <c r="AI77" i="3"/>
  <c r="Z81" i="3"/>
  <c r="AF81" i="3" s="1"/>
  <c r="AM80" i="3"/>
  <c r="AK80" i="3"/>
  <c r="K78" i="3"/>
  <c r="AM78" i="3"/>
  <c r="AH57" i="3"/>
  <c r="E82" i="3"/>
  <c r="W82" i="3" s="1"/>
  <c r="AO82" i="3"/>
  <c r="AM82" i="3"/>
  <c r="AM47" i="3"/>
  <c r="I46" i="3"/>
  <c r="AJ42" i="3"/>
  <c r="E31" i="3"/>
  <c r="AL47" i="3"/>
  <c r="AN47" i="3"/>
  <c r="I43" i="3"/>
  <c r="AI43" i="3" s="1"/>
  <c r="AS31" i="3"/>
  <c r="E62" i="3"/>
  <c r="W62" i="3" s="1"/>
  <c r="AO62" i="3"/>
  <c r="AN60" i="3"/>
  <c r="AG60" i="3"/>
  <c r="AN44" i="3"/>
  <c r="AR43" i="3"/>
  <c r="AN40" i="3"/>
  <c r="AR31" i="3"/>
  <c r="AJ37" i="3"/>
  <c r="Y28" i="3"/>
  <c r="H28" i="3"/>
  <c r="AG28" i="3" s="1"/>
  <c r="AJ28" i="3"/>
  <c r="AL16" i="3"/>
  <c r="AL15" i="3" s="1"/>
  <c r="AO41" i="3"/>
  <c r="AT55" i="3"/>
  <c r="AO37" i="3"/>
  <c r="AT25" i="3"/>
  <c r="K42" i="3"/>
  <c r="E42" i="3"/>
  <c r="W42" i="3" s="1"/>
  <c r="E46" i="3"/>
  <c r="AS46" i="3"/>
  <c r="AT46" i="3" s="1"/>
  <c r="AJ65" i="3"/>
  <c r="AG89" i="3"/>
  <c r="AN93" i="3"/>
  <c r="AO93" i="3"/>
  <c r="E93" i="3"/>
  <c r="AJ93" i="3"/>
  <c r="AO70" i="3"/>
  <c r="AR70" i="3"/>
  <c r="AT70" i="3" s="1"/>
  <c r="AM32" i="3"/>
  <c r="H32" i="3"/>
  <c r="AG32" i="3" s="1"/>
  <c r="AR32" i="3"/>
  <c r="AT32" i="3" s="1"/>
  <c r="AL32" i="3"/>
  <c r="AO32" i="3"/>
  <c r="AK32" i="3"/>
  <c r="E32" i="3"/>
  <c r="AN48" i="3"/>
  <c r="I48" i="3"/>
  <c r="AS48" i="3"/>
  <c r="AR48" i="3"/>
  <c r="H48" i="3"/>
  <c r="AG48" i="3" s="1"/>
  <c r="AJ48" i="3"/>
  <c r="AK90" i="3"/>
  <c r="Y90" i="3"/>
  <c r="E90" i="3"/>
  <c r="AS90" i="3"/>
  <c r="AJ90" i="3"/>
  <c r="AR90" i="3"/>
  <c r="AO90" i="3"/>
  <c r="L90" i="3"/>
  <c r="AN90" i="3"/>
  <c r="AK106" i="3"/>
  <c r="AG106" i="3"/>
  <c r="AR106" i="3"/>
  <c r="K106" i="3"/>
  <c r="AO106" i="3"/>
  <c r="Y106" i="3"/>
  <c r="E106" i="3"/>
  <c r="AS106" i="3"/>
  <c r="AM106" i="3"/>
  <c r="AJ45" i="3"/>
  <c r="AS45" i="3"/>
  <c r="AT45" i="3" s="1"/>
  <c r="I45" i="3"/>
  <c r="AI45" i="3" s="1"/>
  <c r="AO91" i="3"/>
  <c r="L91" i="3"/>
  <c r="AR91" i="3"/>
  <c r="AN91" i="3"/>
  <c r="AG91" i="3"/>
  <c r="AK91" i="3"/>
  <c r="Y91" i="3"/>
  <c r="K91" i="3"/>
  <c r="J91" i="3" s="1"/>
  <c r="N91" i="3" s="1"/>
  <c r="AJ91" i="3"/>
  <c r="E91" i="3"/>
  <c r="AS91" i="3"/>
  <c r="AJ107" i="3"/>
  <c r="AS107" i="3"/>
  <c r="AT107" i="3" s="1"/>
  <c r="K107" i="3"/>
  <c r="AN107" i="3"/>
  <c r="AL68" i="3"/>
  <c r="AS68" i="3"/>
  <c r="AR68" i="3"/>
  <c r="AK68" i="3"/>
  <c r="AG68" i="3"/>
  <c r="E68" i="3"/>
  <c r="W68" i="3" s="1"/>
  <c r="AO68" i="3"/>
  <c r="AM68" i="3"/>
  <c r="K68" i="3"/>
  <c r="Y68" i="3"/>
  <c r="Y52" i="3" s="1"/>
  <c r="AK50" i="3"/>
  <c r="AL50" i="3"/>
  <c r="AN88" i="3"/>
  <c r="L88" i="3"/>
  <c r="AL88" i="3"/>
  <c r="AG88" i="3"/>
  <c r="AS88" i="3"/>
  <c r="AK88" i="3"/>
  <c r="Y88" i="3"/>
  <c r="E88" i="3"/>
  <c r="J88" i="3" s="1"/>
  <c r="AO88" i="3"/>
  <c r="AR88" i="3"/>
  <c r="AJ88" i="3"/>
  <c r="AK104" i="3"/>
  <c r="K104" i="3"/>
  <c r="AR104" i="3"/>
  <c r="AT104" i="3" s="1"/>
  <c r="Y104" i="3"/>
  <c r="E104" i="3"/>
  <c r="AH104" i="3" s="1"/>
  <c r="AM104" i="3"/>
  <c r="K35" i="3"/>
  <c r="AL35" i="3"/>
  <c r="AO35" i="3"/>
  <c r="AR51" i="3"/>
  <c r="AT51" i="3" s="1"/>
  <c r="AL51" i="3"/>
  <c r="K51" i="3"/>
  <c r="AI51" i="3" s="1"/>
  <c r="AO51" i="3"/>
  <c r="AM51" i="3"/>
  <c r="H51" i="3"/>
  <c r="AG51" i="3" s="1"/>
  <c r="AU106" i="1"/>
  <c r="AQ99" i="1"/>
  <c r="AQ77" i="1"/>
  <c r="AQ70" i="1"/>
  <c r="AQ83" i="1"/>
  <c r="AU83" i="1" s="1"/>
  <c r="AQ51" i="2"/>
  <c r="AQ31" i="2"/>
  <c r="AI27" i="1"/>
  <c r="J27" i="1"/>
  <c r="W27" i="1" s="1"/>
  <c r="Z27" i="1" s="1"/>
  <c r="AU28" i="1"/>
  <c r="M103" i="1"/>
  <c r="P103" i="1" s="1"/>
  <c r="V103" i="1" s="1"/>
  <c r="AH85" i="1"/>
  <c r="AU88" i="1"/>
  <c r="AU96" i="1"/>
  <c r="M97" i="1"/>
  <c r="P97" i="1" s="1"/>
  <c r="V97" i="1" s="1"/>
  <c r="AU97" i="1" s="1"/>
  <c r="M99" i="1"/>
  <c r="M78" i="1"/>
  <c r="P78" i="1" s="1"/>
  <c r="V78" i="1" s="1"/>
  <c r="P75" i="1"/>
  <c r="V75" i="1" s="1"/>
  <c r="AU75" i="1" s="1"/>
  <c r="AQ74" i="1"/>
  <c r="AQ78" i="1"/>
  <c r="AQ65" i="1"/>
  <c r="AQ62" i="1"/>
  <c r="AQ64" i="1"/>
  <c r="J69" i="1"/>
  <c r="AQ67" i="1"/>
  <c r="AQ61" i="1"/>
  <c r="AI53" i="1"/>
  <c r="AI52" i="1" s="1"/>
  <c r="AQ60" i="1"/>
  <c r="P57" i="1"/>
  <c r="V57" i="1" s="1"/>
  <c r="AQ44" i="1"/>
  <c r="AQ50" i="1"/>
  <c r="AQ46" i="1"/>
  <c r="AQ48" i="1"/>
  <c r="AQ40" i="1"/>
  <c r="AQ31" i="1"/>
  <c r="AU31" i="1" s="1"/>
  <c r="G108" i="1"/>
  <c r="G112" i="1" s="1"/>
  <c r="H15" i="2"/>
  <c r="AO18" i="3"/>
  <c r="AI20" i="2"/>
  <c r="AJ15" i="2"/>
  <c r="AT23" i="3"/>
  <c r="AT27" i="3"/>
  <c r="Y16" i="2"/>
  <c r="Y15" i="2" s="1"/>
  <c r="E15" i="2"/>
  <c r="AM16" i="3"/>
  <c r="I18" i="3"/>
  <c r="AN16" i="3"/>
  <c r="AR16" i="3"/>
  <c r="E18" i="3"/>
  <c r="AI18" i="3" s="1"/>
  <c r="H18" i="3"/>
  <c r="AG18" i="3" s="1"/>
  <c r="AO16" i="3"/>
  <c r="H16" i="3"/>
  <c r="AH16" i="3" s="1"/>
  <c r="AI18" i="2"/>
  <c r="AS15" i="2"/>
  <c r="AS18" i="3"/>
  <c r="AT18" i="3" s="1"/>
  <c r="E16" i="3"/>
  <c r="AS16" i="3"/>
  <c r="AN18" i="3"/>
  <c r="Y18" i="3"/>
  <c r="AM18" i="3"/>
  <c r="AK16" i="3"/>
  <c r="H108" i="1"/>
  <c r="H112" i="1" s="1"/>
  <c r="AJ18" i="3"/>
  <c r="AJ15" i="3" s="1"/>
  <c r="D15" i="3"/>
  <c r="D108" i="3" s="1"/>
  <c r="D112" i="3" s="1"/>
  <c r="I16" i="3"/>
  <c r="AI16" i="3" s="1"/>
  <c r="K18" i="3"/>
  <c r="AK18" i="3"/>
  <c r="J93" i="3"/>
  <c r="N93" i="3" s="1"/>
  <c r="AT93" i="3"/>
  <c r="AH86" i="3"/>
  <c r="AH87" i="3"/>
  <c r="AH75" i="3"/>
  <c r="AQ75" i="3" s="1"/>
  <c r="AH81" i="3"/>
  <c r="AI81" i="3"/>
  <c r="AI63" i="3"/>
  <c r="L52" i="3"/>
  <c r="J63" i="3"/>
  <c r="N63" i="3" s="1"/>
  <c r="M63" i="3" s="1"/>
  <c r="P63" i="3" s="1"/>
  <c r="V63" i="3" s="1"/>
  <c r="J81" i="3"/>
  <c r="N81" i="3" s="1"/>
  <c r="M81" i="3" s="1"/>
  <c r="P81" i="3" s="1"/>
  <c r="V81" i="3" s="1"/>
  <c r="AT60" i="3"/>
  <c r="AT69" i="3"/>
  <c r="Y42" i="3"/>
  <c r="J34" i="3"/>
  <c r="N34" i="3" s="1"/>
  <c r="M34" i="3" s="1"/>
  <c r="P34" i="3" s="1"/>
  <c r="V34" i="3" s="1"/>
  <c r="W34" i="3"/>
  <c r="Z34" i="3" s="1"/>
  <c r="AF34" i="3" s="1"/>
  <c r="AT42" i="3"/>
  <c r="J42" i="3"/>
  <c r="N42" i="3" s="1"/>
  <c r="M42" i="3" s="1"/>
  <c r="P42" i="3" s="1"/>
  <c r="V42" i="3" s="1"/>
  <c r="AH40" i="3"/>
  <c r="AI36" i="3"/>
  <c r="G29" i="3"/>
  <c r="AT35" i="3"/>
  <c r="AT34" i="3"/>
  <c r="AH107" i="2"/>
  <c r="AQ107" i="2" s="1"/>
  <c r="AM84" i="2"/>
  <c r="J93" i="2"/>
  <c r="N93" i="2" s="1"/>
  <c r="P104" i="2"/>
  <c r="V104" i="2" s="1"/>
  <c r="AQ87" i="2"/>
  <c r="P100" i="2"/>
  <c r="V100" i="2" s="1"/>
  <c r="L84" i="2"/>
  <c r="AI42" i="2"/>
  <c r="J54" i="2"/>
  <c r="N54" i="2" s="1"/>
  <c r="M54" i="2" s="1"/>
  <c r="P54" i="2" s="1"/>
  <c r="V54" i="2" s="1"/>
  <c r="AQ45" i="2"/>
  <c r="AI66" i="2"/>
  <c r="AQ66" i="2" s="1"/>
  <c r="Y46" i="2"/>
  <c r="AR29" i="2"/>
  <c r="AQ40" i="2"/>
  <c r="AU40" i="2" s="1"/>
  <c r="J38" i="2"/>
  <c r="AS52" i="2"/>
  <c r="AI65" i="2"/>
  <c r="AI61" i="2"/>
  <c r="AG69" i="2"/>
  <c r="AT65" i="2"/>
  <c r="AO52" i="2"/>
  <c r="AT57" i="2"/>
  <c r="AI54" i="2"/>
  <c r="AT69" i="2"/>
  <c r="AT78" i="2"/>
  <c r="Y41" i="2"/>
  <c r="W41" i="2"/>
  <c r="AL29" i="2"/>
  <c r="AI33" i="2"/>
  <c r="AJ52" i="2"/>
  <c r="AL52" i="2"/>
  <c r="AI77" i="2"/>
  <c r="AK52" i="2"/>
  <c r="AH82" i="2"/>
  <c r="AH57" i="2"/>
  <c r="AI58" i="2"/>
  <c r="AI50" i="2"/>
  <c r="AQ50" i="2" s="1"/>
  <c r="AQ80" i="2"/>
  <c r="AQ63" i="2"/>
  <c r="N58" i="2"/>
  <c r="M58" i="2" s="1"/>
  <c r="P58" i="2" s="1"/>
  <c r="V58" i="2" s="1"/>
  <c r="AH50" i="2"/>
  <c r="AQ72" i="2"/>
  <c r="AU72" i="2" s="1"/>
  <c r="AQ49" i="2"/>
  <c r="AQ34" i="2"/>
  <c r="AH38" i="2"/>
  <c r="AM29" i="2"/>
  <c r="I29" i="2"/>
  <c r="AI38" i="2"/>
  <c r="Z62" i="2"/>
  <c r="AF62" i="2" s="1"/>
  <c r="Z53" i="2"/>
  <c r="AF53" i="2" s="1"/>
  <c r="AH25" i="2"/>
  <c r="AK15" i="2"/>
  <c r="AK108" i="2" s="1"/>
  <c r="AK112" i="2" s="1"/>
  <c r="D112" i="2"/>
  <c r="J27" i="3"/>
  <c r="N27" i="3" s="1"/>
  <c r="M27" i="3" s="1"/>
  <c r="P27" i="3" s="1"/>
  <c r="V27" i="3" s="1"/>
  <c r="AN24" i="3"/>
  <c r="AT26" i="3"/>
  <c r="Y16" i="3"/>
  <c r="AJ24" i="3"/>
  <c r="I24" i="3"/>
  <c r="AL24" i="3"/>
  <c r="AM24" i="3"/>
  <c r="AG26" i="3"/>
  <c r="AI107" i="3"/>
  <c r="W107" i="3"/>
  <c r="Z107" i="3" s="1"/>
  <c r="AF107" i="3" s="1"/>
  <c r="AH82" i="3"/>
  <c r="AH103" i="3"/>
  <c r="W103" i="3"/>
  <c r="Z103" i="3" s="1"/>
  <c r="AF103" i="3" s="1"/>
  <c r="AI103" i="3"/>
  <c r="AH71" i="3"/>
  <c r="W71" i="3"/>
  <c r="Z71" i="3" s="1"/>
  <c r="AF71" i="3" s="1"/>
  <c r="J71" i="3"/>
  <c r="AI71" i="3"/>
  <c r="J53" i="3"/>
  <c r="W53" i="3"/>
  <c r="AI53" i="3"/>
  <c r="AH53" i="3"/>
  <c r="AH73" i="3"/>
  <c r="W73" i="3"/>
  <c r="Z73" i="3" s="1"/>
  <c r="AF73" i="3" s="1"/>
  <c r="J73" i="3"/>
  <c r="N73" i="3" s="1"/>
  <c r="AI73" i="3"/>
  <c r="Y35" i="3"/>
  <c r="J35" i="3"/>
  <c r="N35" i="3" s="1"/>
  <c r="M35" i="3" s="1"/>
  <c r="W35" i="3"/>
  <c r="AI35" i="3"/>
  <c r="AH35" i="3"/>
  <c r="Y31" i="3"/>
  <c r="W31" i="3"/>
  <c r="AI31" i="3"/>
  <c r="AH31" i="3"/>
  <c r="AQ31" i="3" s="1"/>
  <c r="J32" i="3"/>
  <c r="AT63" i="3"/>
  <c r="AI34" i="3"/>
  <c r="AI23" i="3"/>
  <c r="J67" i="3"/>
  <c r="N67" i="3" s="1"/>
  <c r="M67" i="3" s="1"/>
  <c r="P67" i="3" s="1"/>
  <c r="V67" i="3" s="1"/>
  <c r="AI67" i="3"/>
  <c r="AH67" i="3"/>
  <c r="W67" i="3"/>
  <c r="Z67" i="3" s="1"/>
  <c r="AF67" i="3" s="1"/>
  <c r="Y45" i="3"/>
  <c r="J45" i="3"/>
  <c r="N45" i="3" s="1"/>
  <c r="W45" i="3"/>
  <c r="AR24" i="3"/>
  <c r="AI22" i="3"/>
  <c r="J22" i="3"/>
  <c r="N22" i="3" s="1"/>
  <c r="AH22" i="3"/>
  <c r="AH19" i="3"/>
  <c r="J49" i="3"/>
  <c r="AI42" i="3"/>
  <c r="AI41" i="3"/>
  <c r="AH41" i="3"/>
  <c r="Y41" i="3"/>
  <c r="J41" i="3"/>
  <c r="N41" i="3" s="1"/>
  <c r="W41" i="3"/>
  <c r="AT41" i="3"/>
  <c r="AI57" i="3"/>
  <c r="AI33" i="3"/>
  <c r="AH33" i="3"/>
  <c r="AQ33" i="3" s="1"/>
  <c r="Y33" i="3"/>
  <c r="J33" i="3"/>
  <c r="W33" i="3"/>
  <c r="AS24" i="3"/>
  <c r="J20" i="3"/>
  <c r="W20" i="3" s="1"/>
  <c r="Z20" i="3" s="1"/>
  <c r="AF20" i="3" s="1"/>
  <c r="AI20" i="3"/>
  <c r="AH20" i="3"/>
  <c r="AI25" i="3"/>
  <c r="U112" i="3"/>
  <c r="J57" i="3"/>
  <c r="W78" i="3"/>
  <c r="Z78" i="3" s="1"/>
  <c r="AF78" i="3" s="1"/>
  <c r="AI78" i="3"/>
  <c r="AT78" i="3"/>
  <c r="AH77" i="3"/>
  <c r="AQ77" i="3" s="1"/>
  <c r="AT59" i="3"/>
  <c r="AH48" i="3"/>
  <c r="Y48" i="3"/>
  <c r="W48" i="3"/>
  <c r="Y47" i="3"/>
  <c r="J47" i="3"/>
  <c r="N47" i="3" s="1"/>
  <c r="W47" i="3"/>
  <c r="AI47" i="3"/>
  <c r="AH47" i="3"/>
  <c r="K44" i="3"/>
  <c r="J44" i="3" s="1"/>
  <c r="Y43" i="3"/>
  <c r="J43" i="3"/>
  <c r="N43" i="3" s="1"/>
  <c r="M43" i="3" s="1"/>
  <c r="P43" i="3" s="1"/>
  <c r="V43" i="3" s="1"/>
  <c r="W43" i="3"/>
  <c r="K21" i="3"/>
  <c r="AH63" i="3"/>
  <c r="AT53" i="3"/>
  <c r="AI50" i="3"/>
  <c r="AQ50" i="3" s="1"/>
  <c r="W59" i="3"/>
  <c r="Z59" i="3" s="1"/>
  <c r="AF59" i="3" s="1"/>
  <c r="J59" i="3"/>
  <c r="AI59" i="3"/>
  <c r="AH59" i="3"/>
  <c r="J50" i="3"/>
  <c r="AT31" i="3"/>
  <c r="AI27" i="3"/>
  <c r="AG54" i="3"/>
  <c r="AI32" i="3"/>
  <c r="AH30" i="3"/>
  <c r="J23" i="3"/>
  <c r="AH25" i="3"/>
  <c r="J25" i="3"/>
  <c r="AI55" i="3"/>
  <c r="AH55" i="3"/>
  <c r="W55" i="3"/>
  <c r="Z55" i="3" s="1"/>
  <c r="AF55" i="3" s="1"/>
  <c r="J55" i="3"/>
  <c r="N55" i="3" s="1"/>
  <c r="M55" i="3" s="1"/>
  <c r="P55" i="3" s="1"/>
  <c r="V55" i="3" s="1"/>
  <c r="AI37" i="3"/>
  <c r="AH37" i="3"/>
  <c r="Y37" i="3"/>
  <c r="J37" i="3"/>
  <c r="N37" i="3" s="1"/>
  <c r="W37" i="3"/>
  <c r="AT33" i="3"/>
  <c r="AK24" i="3"/>
  <c r="AH23" i="3"/>
  <c r="AH94" i="3"/>
  <c r="AH93" i="3"/>
  <c r="Y51" i="3"/>
  <c r="W51" i="3"/>
  <c r="J80" i="3"/>
  <c r="W80" i="3"/>
  <c r="Z80" i="3" s="1"/>
  <c r="AF80" i="3" s="1"/>
  <c r="AT76" i="3"/>
  <c r="J75" i="3"/>
  <c r="J65" i="3"/>
  <c r="N65" i="3" s="1"/>
  <c r="W65" i="3"/>
  <c r="Z65" i="3" s="1"/>
  <c r="AF65" i="3" s="1"/>
  <c r="AH74" i="3"/>
  <c r="W79" i="3"/>
  <c r="Z79" i="3" s="1"/>
  <c r="AF79" i="3" s="1"/>
  <c r="J79" i="3"/>
  <c r="N79" i="3" s="1"/>
  <c r="M79" i="3" s="1"/>
  <c r="P79" i="3" s="1"/>
  <c r="V79" i="3" s="1"/>
  <c r="AI79" i="3"/>
  <c r="AH79" i="3"/>
  <c r="Y39" i="3"/>
  <c r="J39" i="3"/>
  <c r="N39" i="3" s="1"/>
  <c r="M39" i="3" s="1"/>
  <c r="P39" i="3" s="1"/>
  <c r="V39" i="3" s="1"/>
  <c r="W39" i="3"/>
  <c r="AI39" i="3"/>
  <c r="AH39" i="3"/>
  <c r="W58" i="3"/>
  <c r="Z58" i="3" s="1"/>
  <c r="AF58" i="3" s="1"/>
  <c r="G52" i="3"/>
  <c r="AH101" i="3"/>
  <c r="AI101" i="3"/>
  <c r="W101" i="3"/>
  <c r="Z101" i="3" s="1"/>
  <c r="AF101" i="3" s="1"/>
  <c r="E84" i="3"/>
  <c r="AG104" i="3"/>
  <c r="AH83" i="3"/>
  <c r="J83" i="3"/>
  <c r="AI105" i="3"/>
  <c r="AH105" i="3"/>
  <c r="W105" i="3"/>
  <c r="Z105" i="3" s="1"/>
  <c r="AF105" i="3" s="1"/>
  <c r="AE112" i="3"/>
  <c r="AT103" i="3"/>
  <c r="AI83" i="3"/>
  <c r="H84" i="3"/>
  <c r="N77" i="3"/>
  <c r="M77" i="3" s="1"/>
  <c r="P77" i="3" s="1"/>
  <c r="V77" i="3" s="1"/>
  <c r="K66" i="3"/>
  <c r="J66" i="3" s="1"/>
  <c r="AH70" i="3"/>
  <c r="W70" i="3"/>
  <c r="Z70" i="3" s="1"/>
  <c r="AF70" i="3" s="1"/>
  <c r="J70" i="3"/>
  <c r="N70" i="3" s="1"/>
  <c r="AI70" i="3"/>
  <c r="Z57" i="3"/>
  <c r="AF57" i="3" s="1"/>
  <c r="AT82" i="3"/>
  <c r="AT79" i="3"/>
  <c r="Z63" i="3"/>
  <c r="AF63" i="3" s="1"/>
  <c r="AI62" i="3"/>
  <c r="W60" i="3"/>
  <c r="Z60" i="3" s="1"/>
  <c r="AF60" i="3" s="1"/>
  <c r="J60" i="3"/>
  <c r="AI60" i="3"/>
  <c r="AH60" i="3"/>
  <c r="AT43" i="3"/>
  <c r="AI40" i="3"/>
  <c r="AQ40" i="3" s="1"/>
  <c r="AH44" i="3"/>
  <c r="AH34" i="3"/>
  <c r="AH17" i="3"/>
  <c r="AI17" i="3"/>
  <c r="J17" i="3"/>
  <c r="AG17" i="3"/>
  <c r="Y15" i="3"/>
  <c r="AS15" i="3"/>
  <c r="N49" i="3"/>
  <c r="AH42" i="3"/>
  <c r="Z42" i="3"/>
  <c r="AF42" i="3" s="1"/>
  <c r="AT37" i="3"/>
  <c r="J26" i="3"/>
  <c r="AI26" i="3"/>
  <c r="AH26" i="3"/>
  <c r="AI19" i="3"/>
  <c r="K102" i="3"/>
  <c r="J86" i="3"/>
  <c r="W76" i="3"/>
  <c r="Z76" i="3" s="1"/>
  <c r="AF76" i="3" s="1"/>
  <c r="AI76" i="3"/>
  <c r="AG56" i="3"/>
  <c r="I52" i="3"/>
  <c r="AG29" i="3"/>
  <c r="W72" i="3"/>
  <c r="AH69" i="3"/>
  <c r="W69" i="3"/>
  <c r="Z69" i="3" s="1"/>
  <c r="AF69" i="3" s="1"/>
  <c r="J69" i="3"/>
  <c r="AI69" i="3"/>
  <c r="W61" i="3"/>
  <c r="Z61" i="3" s="1"/>
  <c r="AF61" i="3" s="1"/>
  <c r="J61" i="3"/>
  <c r="N61" i="3" s="1"/>
  <c r="M61" i="3" s="1"/>
  <c r="AI61" i="3"/>
  <c r="AH61" i="3"/>
  <c r="AH54" i="3"/>
  <c r="J54" i="3"/>
  <c r="W54" i="3"/>
  <c r="Z54" i="3" s="1"/>
  <c r="AF54" i="3" s="1"/>
  <c r="AI54" i="3"/>
  <c r="AI30" i="3"/>
  <c r="E24" i="3"/>
  <c r="AT67" i="3"/>
  <c r="AI46" i="3"/>
  <c r="AH27" i="3"/>
  <c r="AR15" i="3"/>
  <c r="Y24" i="3"/>
  <c r="AT20" i="3"/>
  <c r="AH101" i="2"/>
  <c r="J101" i="2"/>
  <c r="N101" i="2" s="1"/>
  <c r="M101" i="2" s="1"/>
  <c r="P101" i="2" s="1"/>
  <c r="V101" i="2" s="1"/>
  <c r="AH105" i="2"/>
  <c r="J105" i="2"/>
  <c r="N105" i="2" s="1"/>
  <c r="M105" i="2" s="1"/>
  <c r="P105" i="2" s="1"/>
  <c r="V105" i="2" s="1"/>
  <c r="AQ104" i="2"/>
  <c r="AH93" i="2"/>
  <c r="I84" i="2"/>
  <c r="AT97" i="2"/>
  <c r="W93" i="2"/>
  <c r="Z93" i="2" s="1"/>
  <c r="AF93" i="2" s="1"/>
  <c r="AI93" i="2"/>
  <c r="W97" i="2"/>
  <c r="Z97" i="2" s="1"/>
  <c r="AF97" i="2" s="1"/>
  <c r="AI97" i="2"/>
  <c r="J97" i="2"/>
  <c r="N97" i="2" s="1"/>
  <c r="M97" i="2" s="1"/>
  <c r="P97" i="2" s="1"/>
  <c r="V97" i="2" s="1"/>
  <c r="E84" i="2"/>
  <c r="Z89" i="2"/>
  <c r="AF89" i="2" s="1"/>
  <c r="AH88" i="2"/>
  <c r="AQ88" i="2" s="1"/>
  <c r="AH89" i="2"/>
  <c r="AQ89" i="2" s="1"/>
  <c r="AI105" i="2"/>
  <c r="W105" i="2"/>
  <c r="Z105" i="2" s="1"/>
  <c r="AF105" i="2" s="1"/>
  <c r="AT93" i="2"/>
  <c r="AT89" i="2"/>
  <c r="K84" i="2"/>
  <c r="M87" i="2"/>
  <c r="P87" i="2" s="1"/>
  <c r="V87" i="2" s="1"/>
  <c r="AU87" i="2" s="1"/>
  <c r="AH97" i="2"/>
  <c r="AQ97" i="2" s="1"/>
  <c r="AR84" i="2"/>
  <c r="AL84" i="2"/>
  <c r="W101" i="2"/>
  <c r="Z101" i="2" s="1"/>
  <c r="AF101" i="2" s="1"/>
  <c r="AI101" i="2"/>
  <c r="AQ101" i="2" s="1"/>
  <c r="J85" i="2"/>
  <c r="N85" i="2" s="1"/>
  <c r="M85" i="2" s="1"/>
  <c r="H84" i="2"/>
  <c r="AH73" i="2"/>
  <c r="J73" i="2"/>
  <c r="N73" i="2" s="1"/>
  <c r="AI73" i="2"/>
  <c r="AH69" i="2"/>
  <c r="J69" i="2"/>
  <c r="N69" i="2" s="1"/>
  <c r="AH78" i="2"/>
  <c r="J61" i="2"/>
  <c r="H52" i="2"/>
  <c r="G52" i="2"/>
  <c r="AH65" i="2"/>
  <c r="W65" i="2"/>
  <c r="Z65" i="2" s="1"/>
  <c r="AF65" i="2" s="1"/>
  <c r="E52" i="2"/>
  <c r="AM52" i="2"/>
  <c r="AT77" i="2"/>
  <c r="AH61" i="2"/>
  <c r="AQ61" i="2" s="1"/>
  <c r="J82" i="2"/>
  <c r="L108" i="2"/>
  <c r="L112" i="2" s="1"/>
  <c r="AH77" i="2"/>
  <c r="N78" i="2"/>
  <c r="M78" i="2" s="1"/>
  <c r="P78" i="2" s="1"/>
  <c r="V78" i="2" s="1"/>
  <c r="AQ64" i="2"/>
  <c r="AI57" i="2"/>
  <c r="AQ57" i="2" s="1"/>
  <c r="AH81" i="2"/>
  <c r="AI82" i="2"/>
  <c r="AQ82" i="2" s="1"/>
  <c r="J81" i="2"/>
  <c r="N81" i="2" s="1"/>
  <c r="M81" i="2" s="1"/>
  <c r="P81" i="2" s="1"/>
  <c r="V81" i="2" s="1"/>
  <c r="AI81" i="2"/>
  <c r="J57" i="2"/>
  <c r="N57" i="2" s="1"/>
  <c r="AI78" i="2"/>
  <c r="AQ75" i="2"/>
  <c r="AG73" i="2"/>
  <c r="AT20" i="2"/>
  <c r="AQ19" i="2"/>
  <c r="AQ23" i="2"/>
  <c r="AH16" i="2"/>
  <c r="AI16" i="2"/>
  <c r="AI15" i="2" s="1"/>
  <c r="I15" i="2"/>
  <c r="J50" i="2"/>
  <c r="N50" i="2" s="1"/>
  <c r="M50" i="2" s="1"/>
  <c r="P50" i="2" s="1"/>
  <c r="V50" i="2" s="1"/>
  <c r="AQ48" i="2"/>
  <c r="J42" i="2"/>
  <c r="AQ47" i="2"/>
  <c r="Z46" i="2"/>
  <c r="AF46" i="2" s="1"/>
  <c r="AU32" i="2"/>
  <c r="H29" i="2"/>
  <c r="AJ29" i="2"/>
  <c r="AS108" i="2"/>
  <c r="AS112" i="2" s="1"/>
  <c r="K29" i="2"/>
  <c r="AG42" i="2"/>
  <c r="G29" i="2"/>
  <c r="AH42" i="2"/>
  <c r="W50" i="2"/>
  <c r="Z50" i="2" s="1"/>
  <c r="AF50" i="2" s="1"/>
  <c r="AH46" i="2"/>
  <c r="AQ46" i="2" s="1"/>
  <c r="J34" i="2"/>
  <c r="N34" i="2" s="1"/>
  <c r="M34" i="2" s="1"/>
  <c r="P34" i="2" s="1"/>
  <c r="V34" i="2" s="1"/>
  <c r="AU34" i="2" s="1"/>
  <c r="E29" i="2"/>
  <c r="AH28" i="2"/>
  <c r="J28" i="2"/>
  <c r="N28" i="2" s="1"/>
  <c r="M28" i="2" s="1"/>
  <c r="P28" i="2" s="1"/>
  <c r="V28" i="2" s="1"/>
  <c r="AM108" i="2"/>
  <c r="AM112" i="2" s="1"/>
  <c r="AT28" i="2"/>
  <c r="AT24" i="2" s="1"/>
  <c r="AI28" i="2"/>
  <c r="J25" i="2"/>
  <c r="N25" i="2" s="1"/>
  <c r="J19" i="2"/>
  <c r="N19" i="2" s="1"/>
  <c r="AQ21" i="2"/>
  <c r="AR15" i="2"/>
  <c r="AT16" i="2"/>
  <c r="AR108" i="2"/>
  <c r="AR112" i="2" s="1"/>
  <c r="N102" i="2"/>
  <c r="M102" i="2" s="1"/>
  <c r="P102" i="2" s="1"/>
  <c r="V102" i="2" s="1"/>
  <c r="AU102" i="2" s="1"/>
  <c r="N94" i="2"/>
  <c r="M94" i="2" s="1"/>
  <c r="P94" i="2" s="1"/>
  <c r="V94" i="2" s="1"/>
  <c r="AU94" i="2" s="1"/>
  <c r="N98" i="2"/>
  <c r="M98" i="2" s="1"/>
  <c r="P98" i="2" s="1"/>
  <c r="V98" i="2" s="1"/>
  <c r="AU98" i="2" s="1"/>
  <c r="N107" i="2"/>
  <c r="M107" i="2" s="1"/>
  <c r="P107" i="2" s="1"/>
  <c r="V107" i="2" s="1"/>
  <c r="AU79" i="2"/>
  <c r="M80" i="2"/>
  <c r="P80" i="2" s="1"/>
  <c r="V80" i="2" s="1"/>
  <c r="N106" i="2"/>
  <c r="M106" i="2" s="1"/>
  <c r="P106" i="2" s="1"/>
  <c r="V106" i="2" s="1"/>
  <c r="M89" i="2"/>
  <c r="P89" i="2" s="1"/>
  <c r="V89" i="2" s="1"/>
  <c r="J86" i="2"/>
  <c r="J71" i="2"/>
  <c r="M48" i="2"/>
  <c r="P48" i="2" s="1"/>
  <c r="V48" i="2" s="1"/>
  <c r="J92" i="2"/>
  <c r="AQ59" i="2"/>
  <c r="AU59" i="2" s="1"/>
  <c r="Z51" i="2"/>
  <c r="AF51" i="2" s="1"/>
  <c r="AU51" i="2" s="1"/>
  <c r="Z47" i="2"/>
  <c r="AF47" i="2" s="1"/>
  <c r="AQ41" i="2"/>
  <c r="AH24" i="2"/>
  <c r="K24" i="2"/>
  <c r="AQ55" i="2"/>
  <c r="AH18" i="2"/>
  <c r="AQ18" i="2" s="1"/>
  <c r="K15" i="2"/>
  <c r="N67" i="2"/>
  <c r="M67" i="2" s="1"/>
  <c r="P67" i="2" s="1"/>
  <c r="V67" i="2" s="1"/>
  <c r="AU67" i="2" s="1"/>
  <c r="W21" i="2"/>
  <c r="Z21" i="2" s="1"/>
  <c r="AF21" i="2" s="1"/>
  <c r="N21" i="2"/>
  <c r="M21" i="2" s="1"/>
  <c r="P21" i="2" s="1"/>
  <c r="V21" i="2" s="1"/>
  <c r="AQ76" i="2"/>
  <c r="AQ37" i="2"/>
  <c r="J22" i="2"/>
  <c r="J18" i="2"/>
  <c r="Z36" i="2"/>
  <c r="AF36" i="2" s="1"/>
  <c r="AH22" i="2"/>
  <c r="AQ22" i="2" s="1"/>
  <c r="Z85" i="2"/>
  <c r="M60" i="2"/>
  <c r="P60" i="2" s="1"/>
  <c r="V60" i="2" s="1"/>
  <c r="AG84" i="2"/>
  <c r="AQ85" i="2"/>
  <c r="N74" i="2"/>
  <c r="M74" i="2" s="1"/>
  <c r="P74" i="2" s="1"/>
  <c r="V74" i="2" s="1"/>
  <c r="N68" i="2"/>
  <c r="M68" i="2" s="1"/>
  <c r="P68" i="2" s="1"/>
  <c r="V68" i="2" s="1"/>
  <c r="N66" i="2"/>
  <c r="M66" i="2" s="1"/>
  <c r="P66" i="2" s="1"/>
  <c r="V66" i="2" s="1"/>
  <c r="N64" i="2"/>
  <c r="M64" i="2" s="1"/>
  <c r="P64" i="2" s="1"/>
  <c r="V64" i="2" s="1"/>
  <c r="AU64" i="2" s="1"/>
  <c r="N62" i="2"/>
  <c r="M62" i="2" s="1"/>
  <c r="P62" i="2" s="1"/>
  <c r="V62" i="2" s="1"/>
  <c r="N88" i="2"/>
  <c r="M88" i="2" s="1"/>
  <c r="P88" i="2" s="1"/>
  <c r="V88" i="2" s="1"/>
  <c r="N75" i="2"/>
  <c r="M75" i="2" s="1"/>
  <c r="P75" i="2" s="1"/>
  <c r="V75" i="2" s="1"/>
  <c r="AH71" i="2"/>
  <c r="AQ71" i="2" s="1"/>
  <c r="M35" i="2"/>
  <c r="P35" i="2" s="1"/>
  <c r="V35" i="2" s="1"/>
  <c r="M31" i="2"/>
  <c r="P31" i="2" s="1"/>
  <c r="V31" i="2" s="1"/>
  <c r="AU31" i="2" s="1"/>
  <c r="N33" i="2"/>
  <c r="M33" i="2" s="1"/>
  <c r="P33" i="2" s="1"/>
  <c r="V33" i="2" s="1"/>
  <c r="AI27" i="2"/>
  <c r="AQ27" i="2" s="1"/>
  <c r="AQ53" i="2"/>
  <c r="W23" i="2"/>
  <c r="Z23" i="2" s="1"/>
  <c r="AF23" i="2" s="1"/>
  <c r="N23" i="2"/>
  <c r="M23" i="2" s="1"/>
  <c r="P23" i="2" s="1"/>
  <c r="V23" i="2" s="1"/>
  <c r="N39" i="2"/>
  <c r="M39" i="2" s="1"/>
  <c r="P39" i="2" s="1"/>
  <c r="V39" i="2" s="1"/>
  <c r="N43" i="2"/>
  <c r="M43" i="2" s="1"/>
  <c r="P43" i="2" s="1"/>
  <c r="V43" i="2" s="1"/>
  <c r="AQ35" i="2"/>
  <c r="N38" i="2"/>
  <c r="M38" i="2" s="1"/>
  <c r="P38" i="2" s="1"/>
  <c r="V38" i="2" s="1"/>
  <c r="J30" i="2"/>
  <c r="AI30" i="2"/>
  <c r="J20" i="2"/>
  <c r="M44" i="2"/>
  <c r="P44" i="2" s="1"/>
  <c r="V44" i="2" s="1"/>
  <c r="AU44" i="2" s="1"/>
  <c r="M36" i="2"/>
  <c r="P36" i="2" s="1"/>
  <c r="V36" i="2" s="1"/>
  <c r="AH20" i="2"/>
  <c r="N103" i="2"/>
  <c r="M103" i="2" s="1"/>
  <c r="P103" i="2" s="1"/>
  <c r="V103" i="2" s="1"/>
  <c r="AU103" i="2" s="1"/>
  <c r="N99" i="2"/>
  <c r="M99" i="2" s="1"/>
  <c r="P99" i="2" s="1"/>
  <c r="V99" i="2" s="1"/>
  <c r="AU99" i="2" s="1"/>
  <c r="N95" i="2"/>
  <c r="M95" i="2" s="1"/>
  <c r="P95" i="2" s="1"/>
  <c r="V95" i="2" s="1"/>
  <c r="AU95" i="2" s="1"/>
  <c r="J90" i="2"/>
  <c r="AH86" i="2"/>
  <c r="N77" i="2"/>
  <c r="M77" i="2" s="1"/>
  <c r="P77" i="2" s="1"/>
  <c r="V77" i="2" s="1"/>
  <c r="N70" i="2"/>
  <c r="M70" i="2" s="1"/>
  <c r="P70" i="2" s="1"/>
  <c r="V70" i="2" s="1"/>
  <c r="M55" i="2"/>
  <c r="P55" i="2" s="1"/>
  <c r="V55" i="2" s="1"/>
  <c r="W26" i="2"/>
  <c r="Z26" i="2" s="1"/>
  <c r="AF26" i="2" s="1"/>
  <c r="N26" i="2"/>
  <c r="M26" i="2" s="1"/>
  <c r="P26" i="2" s="1"/>
  <c r="V26" i="2" s="1"/>
  <c r="Z49" i="2"/>
  <c r="AF49" i="2" s="1"/>
  <c r="AU49" i="2" s="1"/>
  <c r="N65" i="2"/>
  <c r="M65" i="2" s="1"/>
  <c r="P65" i="2" s="1"/>
  <c r="V65" i="2" s="1"/>
  <c r="AQ33" i="2"/>
  <c r="J27" i="2"/>
  <c r="AQ26" i="2"/>
  <c r="N63" i="2"/>
  <c r="M63" i="2" s="1"/>
  <c r="P63" i="2" s="1"/>
  <c r="V63" i="2" s="1"/>
  <c r="N56" i="2"/>
  <c r="M56" i="2" s="1"/>
  <c r="P56" i="2" s="1"/>
  <c r="V56" i="2" s="1"/>
  <c r="AQ39" i="2"/>
  <c r="AQ25" i="2"/>
  <c r="W17" i="2"/>
  <c r="Z17" i="2" s="1"/>
  <c r="AF17" i="2" s="1"/>
  <c r="M91" i="2"/>
  <c r="P91" i="2" s="1"/>
  <c r="V91" i="2" s="1"/>
  <c r="AU91" i="2" s="1"/>
  <c r="AQ43" i="2"/>
  <c r="W29" i="2"/>
  <c r="Z30" i="2"/>
  <c r="M19" i="2"/>
  <c r="P19" i="2" s="1"/>
  <c r="V19" i="2" s="1"/>
  <c r="AG16" i="2"/>
  <c r="AE112" i="2"/>
  <c r="M76" i="2"/>
  <c r="P76" i="2" s="1"/>
  <c r="V76" i="2" s="1"/>
  <c r="N53" i="2"/>
  <c r="N45" i="2"/>
  <c r="M45" i="2" s="1"/>
  <c r="P45" i="2" s="1"/>
  <c r="V45" i="2" s="1"/>
  <c r="N83" i="2"/>
  <c r="M83" i="2" s="1"/>
  <c r="P83" i="2" s="1"/>
  <c r="V83" i="2" s="1"/>
  <c r="AU83" i="2" s="1"/>
  <c r="N41" i="2"/>
  <c r="M41" i="2" s="1"/>
  <c r="P41" i="2" s="1"/>
  <c r="V41" i="2" s="1"/>
  <c r="K52" i="2"/>
  <c r="N17" i="2"/>
  <c r="M17" i="2" s="1"/>
  <c r="P17" i="2" s="1"/>
  <c r="V17" i="2" s="1"/>
  <c r="N37" i="2"/>
  <c r="M37" i="2" s="1"/>
  <c r="P37" i="2" s="1"/>
  <c r="V37" i="2" s="1"/>
  <c r="AH30" i="2"/>
  <c r="J16" i="2"/>
  <c r="AQ17" i="2"/>
  <c r="J52" i="1"/>
  <c r="N53" i="1"/>
  <c r="M53" i="1" s="1"/>
  <c r="P53" i="1" s="1"/>
  <c r="N104" i="1"/>
  <c r="M104" i="1" s="1"/>
  <c r="P104" i="1" s="1"/>
  <c r="V104" i="1" s="1"/>
  <c r="AU68" i="1"/>
  <c r="P55" i="1"/>
  <c r="V55" i="1" s="1"/>
  <c r="AU47" i="1"/>
  <c r="AU103" i="1"/>
  <c r="P77" i="1"/>
  <c r="V77" i="1" s="1"/>
  <c r="AU77" i="1" s="1"/>
  <c r="AU35" i="1"/>
  <c r="J90" i="1"/>
  <c r="AU87" i="1"/>
  <c r="AI84" i="1"/>
  <c r="N80" i="1"/>
  <c r="M80" i="1" s="1"/>
  <c r="P80" i="1" s="1"/>
  <c r="V80" i="1" s="1"/>
  <c r="AU80" i="1" s="1"/>
  <c r="N76" i="1"/>
  <c r="M76" i="1" s="1"/>
  <c r="P76" i="1" s="1"/>
  <c r="V76" i="1" s="1"/>
  <c r="AU76" i="1" s="1"/>
  <c r="AG84" i="1"/>
  <c r="AQ73" i="1"/>
  <c r="AQ69" i="1"/>
  <c r="AQ55" i="1"/>
  <c r="AI29" i="1"/>
  <c r="W26" i="1"/>
  <c r="Z26" i="1" s="1"/>
  <c r="AF26" i="1" s="1"/>
  <c r="N26" i="1"/>
  <c r="M26" i="1" s="1"/>
  <c r="P26" i="1" s="1"/>
  <c r="V26" i="1" s="1"/>
  <c r="W16" i="1"/>
  <c r="N16" i="1"/>
  <c r="K24" i="1"/>
  <c r="AH25" i="1"/>
  <c r="J17" i="1"/>
  <c r="AI17" i="1"/>
  <c r="W29" i="1"/>
  <c r="W25" i="1"/>
  <c r="K15" i="1"/>
  <c r="J105" i="1"/>
  <c r="M94" i="1"/>
  <c r="P94" i="1" s="1"/>
  <c r="V94" i="1" s="1"/>
  <c r="AU94" i="1" s="1"/>
  <c r="AT112" i="1"/>
  <c r="N79" i="1"/>
  <c r="M79" i="1" s="1"/>
  <c r="P79" i="1" s="1"/>
  <c r="V79" i="1" s="1"/>
  <c r="P99" i="1"/>
  <c r="V99" i="1" s="1"/>
  <c r="AU99" i="1" s="1"/>
  <c r="M72" i="1"/>
  <c r="P72" i="1" s="1"/>
  <c r="V72" i="1" s="1"/>
  <c r="AU72" i="1" s="1"/>
  <c r="M67" i="1"/>
  <c r="N65" i="1"/>
  <c r="M65" i="1" s="1"/>
  <c r="P65" i="1" s="1"/>
  <c r="V65" i="1" s="1"/>
  <c r="AU65" i="1" s="1"/>
  <c r="N71" i="1"/>
  <c r="M71" i="1" s="1"/>
  <c r="P71" i="1" s="1"/>
  <c r="V71" i="1" s="1"/>
  <c r="AU71" i="1" s="1"/>
  <c r="M50" i="1"/>
  <c r="P50" i="1" s="1"/>
  <c r="V50" i="1" s="1"/>
  <c r="AU50" i="1" s="1"/>
  <c r="M42" i="1"/>
  <c r="P42" i="1" s="1"/>
  <c r="V42" i="1" s="1"/>
  <c r="AU42" i="1" s="1"/>
  <c r="M62" i="1"/>
  <c r="P62" i="1" s="1"/>
  <c r="V62" i="1" s="1"/>
  <c r="AU62" i="1" s="1"/>
  <c r="AQ59" i="1"/>
  <c r="AH53" i="1"/>
  <c r="Z49" i="1"/>
  <c r="AF49" i="1" s="1"/>
  <c r="Z41" i="1"/>
  <c r="AF41" i="1" s="1"/>
  <c r="AU41" i="1" s="1"/>
  <c r="N56" i="1"/>
  <c r="M56" i="1" s="1"/>
  <c r="P56" i="1" s="1"/>
  <c r="V56" i="1" s="1"/>
  <c r="AU56" i="1" s="1"/>
  <c r="Y29" i="1"/>
  <c r="Y108" i="1" s="1"/>
  <c r="Y112" i="1" s="1"/>
  <c r="N25" i="1"/>
  <c r="M25" i="1" s="1"/>
  <c r="AQ20" i="1"/>
  <c r="AF30" i="1"/>
  <c r="AI25" i="1"/>
  <c r="AI24" i="1" s="1"/>
  <c r="W22" i="1"/>
  <c r="Z22" i="1" s="1"/>
  <c r="AF22" i="1" s="1"/>
  <c r="W20" i="1"/>
  <c r="Z20" i="1" s="1"/>
  <c r="AF20" i="1" s="1"/>
  <c r="W18" i="1"/>
  <c r="Z18" i="1" s="1"/>
  <c r="AF18" i="1" s="1"/>
  <c r="AQ16" i="1"/>
  <c r="AG17" i="1"/>
  <c r="M33" i="1"/>
  <c r="P33" i="1" s="1"/>
  <c r="V33" i="1" s="1"/>
  <c r="AU33" i="1" s="1"/>
  <c r="J21" i="1"/>
  <c r="AH29" i="1"/>
  <c r="AQ30" i="1"/>
  <c r="AI23" i="1"/>
  <c r="AQ23" i="1" s="1"/>
  <c r="AH104" i="1"/>
  <c r="AQ104" i="1" s="1"/>
  <c r="M102" i="1"/>
  <c r="P102" i="1" s="1"/>
  <c r="V102" i="1" s="1"/>
  <c r="AU102" i="1" s="1"/>
  <c r="AQ101" i="1"/>
  <c r="N100" i="1"/>
  <c r="M100" i="1" s="1"/>
  <c r="P100" i="1" s="1"/>
  <c r="V100" i="1" s="1"/>
  <c r="AU100" i="1" s="1"/>
  <c r="U112" i="1"/>
  <c r="J89" i="1"/>
  <c r="N86" i="1"/>
  <c r="M86" i="1" s="1"/>
  <c r="P86" i="1" s="1"/>
  <c r="V86" i="1" s="1"/>
  <c r="AU86" i="1" s="1"/>
  <c r="AE112" i="1"/>
  <c r="M82" i="1"/>
  <c r="P82" i="1" s="1"/>
  <c r="V82" i="1" s="1"/>
  <c r="N69" i="1"/>
  <c r="M69" i="1" s="1"/>
  <c r="P69" i="1" s="1"/>
  <c r="V69" i="1" s="1"/>
  <c r="M60" i="1"/>
  <c r="P60" i="1" s="1"/>
  <c r="V60" i="1" s="1"/>
  <c r="AU60" i="1" s="1"/>
  <c r="AF85" i="1"/>
  <c r="AF84" i="1" s="1"/>
  <c r="Z84" i="1"/>
  <c r="M73" i="1"/>
  <c r="P73" i="1" s="1"/>
  <c r="V73" i="1" s="1"/>
  <c r="N74" i="1"/>
  <c r="M74" i="1" s="1"/>
  <c r="P74" i="1" s="1"/>
  <c r="V74" i="1" s="1"/>
  <c r="AU74" i="1" s="1"/>
  <c r="N92" i="1"/>
  <c r="M92" i="1" s="1"/>
  <c r="P92" i="1" s="1"/>
  <c r="V92" i="1" s="1"/>
  <c r="AU92" i="1" s="1"/>
  <c r="AQ82" i="1"/>
  <c r="N66" i="1"/>
  <c r="M66" i="1" s="1"/>
  <c r="P66" i="1" s="1"/>
  <c r="V66" i="1" s="1"/>
  <c r="AU66" i="1" s="1"/>
  <c r="P67" i="1"/>
  <c r="V67" i="1" s="1"/>
  <c r="AU67" i="1" s="1"/>
  <c r="M59" i="1"/>
  <c r="P59" i="1" s="1"/>
  <c r="V59" i="1" s="1"/>
  <c r="M44" i="1"/>
  <c r="P44" i="1" s="1"/>
  <c r="V44" i="1" s="1"/>
  <c r="AU44" i="1" s="1"/>
  <c r="N58" i="1"/>
  <c r="M58" i="1" s="1"/>
  <c r="P58" i="1" s="1"/>
  <c r="V58" i="1" s="1"/>
  <c r="AU58" i="1" s="1"/>
  <c r="K52" i="1"/>
  <c r="M64" i="1"/>
  <c r="P64" i="1" s="1"/>
  <c r="V64" i="1" s="1"/>
  <c r="Z51" i="1"/>
  <c r="AF51" i="1" s="1"/>
  <c r="AU51" i="1" s="1"/>
  <c r="Z43" i="1"/>
  <c r="AF43" i="1" s="1"/>
  <c r="AU43" i="1" s="1"/>
  <c r="N36" i="1"/>
  <c r="M36" i="1" s="1"/>
  <c r="P36" i="1" s="1"/>
  <c r="V36" i="1" s="1"/>
  <c r="AF53" i="1"/>
  <c r="AF52" i="1" s="1"/>
  <c r="Z52" i="1"/>
  <c r="N32" i="1"/>
  <c r="AQ26" i="1"/>
  <c r="AG24" i="1"/>
  <c r="N22" i="1"/>
  <c r="M22" i="1" s="1"/>
  <c r="P22" i="1" s="1"/>
  <c r="V22" i="1" s="1"/>
  <c r="AU22" i="1" s="1"/>
  <c r="N20" i="1"/>
  <c r="M20" i="1" s="1"/>
  <c r="P20" i="1" s="1"/>
  <c r="V20" i="1" s="1"/>
  <c r="N18" i="1"/>
  <c r="M18" i="1" s="1"/>
  <c r="P18" i="1" s="1"/>
  <c r="V18" i="1" s="1"/>
  <c r="AQ38" i="1"/>
  <c r="J23" i="1"/>
  <c r="J19" i="1"/>
  <c r="AI21" i="1"/>
  <c r="AQ21" i="1" s="1"/>
  <c r="J107" i="1"/>
  <c r="J101" i="1"/>
  <c r="N98" i="1"/>
  <c r="M98" i="1" s="1"/>
  <c r="P98" i="1" s="1"/>
  <c r="V98" i="1" s="1"/>
  <c r="AU98" i="1" s="1"/>
  <c r="K84" i="1"/>
  <c r="AQ90" i="1"/>
  <c r="N85" i="1"/>
  <c r="M95" i="1"/>
  <c r="P95" i="1" s="1"/>
  <c r="V95" i="1" s="1"/>
  <c r="AU95" i="1" s="1"/>
  <c r="AT108" i="1"/>
  <c r="W84" i="1"/>
  <c r="AQ79" i="1"/>
  <c r="M70" i="1"/>
  <c r="P70" i="1" s="1"/>
  <c r="V70" i="1" s="1"/>
  <c r="AU70" i="1" s="1"/>
  <c r="N61" i="1"/>
  <c r="M61" i="1" s="1"/>
  <c r="P61" i="1" s="1"/>
  <c r="V61" i="1" s="1"/>
  <c r="AU61" i="1" s="1"/>
  <c r="AQ85" i="1"/>
  <c r="M46" i="1"/>
  <c r="P46" i="1" s="1"/>
  <c r="V46" i="1" s="1"/>
  <c r="AU46" i="1" s="1"/>
  <c r="M38" i="1"/>
  <c r="P38" i="1" s="1"/>
  <c r="V38" i="1" s="1"/>
  <c r="J29" i="1"/>
  <c r="M30" i="1"/>
  <c r="N63" i="1"/>
  <c r="M63" i="1" s="1"/>
  <c r="P63" i="1" s="1"/>
  <c r="V63" i="1" s="1"/>
  <c r="AU63" i="1" s="1"/>
  <c r="M54" i="1"/>
  <c r="P54" i="1" s="1"/>
  <c r="V54" i="1" s="1"/>
  <c r="AU54" i="1" s="1"/>
  <c r="N48" i="1"/>
  <c r="M48" i="1" s="1"/>
  <c r="P48" i="1" s="1"/>
  <c r="V48" i="1" s="1"/>
  <c r="AU48" i="1" s="1"/>
  <c r="N40" i="1"/>
  <c r="M40" i="1" s="1"/>
  <c r="P40" i="1" s="1"/>
  <c r="V40" i="1" s="1"/>
  <c r="AU40" i="1" s="1"/>
  <c r="AQ57" i="1"/>
  <c r="AU57" i="1" s="1"/>
  <c r="Z45" i="1"/>
  <c r="AF45" i="1" s="1"/>
  <c r="AU45" i="1" s="1"/>
  <c r="AQ36" i="1"/>
  <c r="AG29" i="1"/>
  <c r="W52" i="1"/>
  <c r="AQ18" i="1"/>
  <c r="AG52" i="1"/>
  <c r="N34" i="1"/>
  <c r="M34" i="1" s="1"/>
  <c r="P34" i="1" s="1"/>
  <c r="V34" i="1" s="1"/>
  <c r="AU34" i="1" s="1"/>
  <c r="AH19" i="1"/>
  <c r="AQ19" i="1" s="1"/>
  <c r="AQ27" i="1"/>
  <c r="AJ52" i="3" l="1"/>
  <c r="AL84" i="3"/>
  <c r="J95" i="3"/>
  <c r="N95" i="3" s="1"/>
  <c r="M95" i="3" s="1"/>
  <c r="P95" i="3" s="1"/>
  <c r="V95" i="3" s="1"/>
  <c r="AH56" i="3"/>
  <c r="J98" i="3"/>
  <c r="N98" i="3" s="1"/>
  <c r="M98" i="3" s="1"/>
  <c r="P98" i="3" s="1"/>
  <c r="V98" i="3" s="1"/>
  <c r="AU98" i="3" s="1"/>
  <c r="AU88" i="2"/>
  <c r="H24" i="3"/>
  <c r="AO84" i="3"/>
  <c r="L84" i="3"/>
  <c r="L108" i="3" s="1"/>
  <c r="L112" i="3" s="1"/>
  <c r="J72" i="3"/>
  <c r="J104" i="3"/>
  <c r="AI48" i="3"/>
  <c r="AQ48" i="3" s="1"/>
  <c r="AU100" i="2"/>
  <c r="AN15" i="3"/>
  <c r="AO52" i="3"/>
  <c r="Z82" i="3"/>
  <c r="AF82" i="3" s="1"/>
  <c r="AT86" i="3"/>
  <c r="AI49" i="3"/>
  <c r="J103" i="3"/>
  <c r="AO108" i="2"/>
  <c r="AO112" i="2" s="1"/>
  <c r="AQ84" i="1"/>
  <c r="G108" i="2"/>
  <c r="G112" i="2" s="1"/>
  <c r="AH43" i="3"/>
  <c r="AH45" i="3"/>
  <c r="AG16" i="3"/>
  <c r="I29" i="3"/>
  <c r="AT16" i="3"/>
  <c r="N27" i="1"/>
  <c r="M27" i="1" s="1"/>
  <c r="P27" i="1" s="1"/>
  <c r="V27" i="1" s="1"/>
  <c r="Z62" i="3"/>
  <c r="AF62" i="3" s="1"/>
  <c r="Z66" i="3"/>
  <c r="AF66" i="3" s="1"/>
  <c r="J74" i="3"/>
  <c r="AU73" i="1"/>
  <c r="AQ42" i="3"/>
  <c r="J36" i="3"/>
  <c r="J48" i="3"/>
  <c r="N48" i="3" s="1"/>
  <c r="M48" i="3" s="1"/>
  <c r="P48" i="3" s="1"/>
  <c r="V48" i="3" s="1"/>
  <c r="AH36" i="3"/>
  <c r="AQ35" i="3"/>
  <c r="AG24" i="3"/>
  <c r="AT24" i="3"/>
  <c r="J24" i="1"/>
  <c r="AT90" i="3"/>
  <c r="AT100" i="3"/>
  <c r="J40" i="3"/>
  <c r="N40" i="3" s="1"/>
  <c r="M40" i="3" s="1"/>
  <c r="P40" i="3" s="1"/>
  <c r="V40" i="3" s="1"/>
  <c r="AT97" i="3"/>
  <c r="AT72" i="3"/>
  <c r="AT95" i="3"/>
  <c r="AH62" i="3"/>
  <c r="AL52" i="3"/>
  <c r="AN108" i="2"/>
  <c r="AN112" i="2" s="1"/>
  <c r="AH107" i="3"/>
  <c r="AQ107" i="3" s="1"/>
  <c r="AH102" i="3"/>
  <c r="AH90" i="3"/>
  <c r="AH98" i="3"/>
  <c r="AT106" i="3"/>
  <c r="AJ84" i="3"/>
  <c r="Y84" i="3"/>
  <c r="AU106" i="2"/>
  <c r="AI84" i="2"/>
  <c r="J90" i="3"/>
  <c r="AH91" i="3"/>
  <c r="AM84" i="3"/>
  <c r="AH92" i="3"/>
  <c r="AU104" i="2"/>
  <c r="AQ101" i="3"/>
  <c r="AN84" i="3"/>
  <c r="AT102" i="3"/>
  <c r="AH89" i="3"/>
  <c r="AU75" i="2"/>
  <c r="AU80" i="2"/>
  <c r="AH72" i="3"/>
  <c r="J62" i="3"/>
  <c r="N62" i="3" s="1"/>
  <c r="M62" i="3" s="1"/>
  <c r="P62" i="3" s="1"/>
  <c r="V62" i="3" s="1"/>
  <c r="AH68" i="3"/>
  <c r="AH58" i="3"/>
  <c r="AI74" i="3"/>
  <c r="AQ74" i="3" s="1"/>
  <c r="AI65" i="3"/>
  <c r="AH80" i="3"/>
  <c r="AQ73" i="3"/>
  <c r="AI82" i="3"/>
  <c r="AQ82" i="3" s="1"/>
  <c r="AM52" i="3"/>
  <c r="H52" i="3"/>
  <c r="H108" i="3" s="1"/>
  <c r="H112" i="3" s="1"/>
  <c r="AK52" i="3"/>
  <c r="AU70" i="2"/>
  <c r="AU56" i="2"/>
  <c r="AJ108" i="2"/>
  <c r="AJ112" i="2" s="1"/>
  <c r="AG52" i="2"/>
  <c r="AI72" i="3"/>
  <c r="AI58" i="3"/>
  <c r="AQ58" i="3" s="1"/>
  <c r="W74" i="3"/>
  <c r="Z74" i="3" s="1"/>
  <c r="AF74" i="3" s="1"/>
  <c r="AH65" i="3"/>
  <c r="AQ65" i="3" s="1"/>
  <c r="N80" i="3"/>
  <c r="M80" i="3" s="1"/>
  <c r="P80" i="3" s="1"/>
  <c r="V80" i="3" s="1"/>
  <c r="J78" i="3"/>
  <c r="E52" i="3"/>
  <c r="J82" i="3"/>
  <c r="N82" i="3" s="1"/>
  <c r="M82" i="3" s="1"/>
  <c r="P82" i="3" s="1"/>
  <c r="V82" i="3" s="1"/>
  <c r="AQ58" i="2"/>
  <c r="AU58" i="2" s="1"/>
  <c r="AQ69" i="2"/>
  <c r="AH76" i="3"/>
  <c r="AH78" i="3"/>
  <c r="AN29" i="3"/>
  <c r="AL29" i="3"/>
  <c r="AI38" i="3"/>
  <c r="AO29" i="3"/>
  <c r="Z33" i="3"/>
  <c r="AF33" i="3" s="1"/>
  <c r="AH51" i="3"/>
  <c r="AK29" i="3"/>
  <c r="AR29" i="3"/>
  <c r="AQ38" i="2"/>
  <c r="AG29" i="2"/>
  <c r="E29" i="3"/>
  <c r="AM29" i="3"/>
  <c r="AT15" i="2"/>
  <c r="AH18" i="3"/>
  <c r="J18" i="3"/>
  <c r="W18" i="3" s="1"/>
  <c r="Z18" i="3" s="1"/>
  <c r="AF18" i="3" s="1"/>
  <c r="I15" i="3"/>
  <c r="K15" i="3"/>
  <c r="J16" i="3"/>
  <c r="AM15" i="3"/>
  <c r="E15" i="3"/>
  <c r="H15" i="3"/>
  <c r="AO15" i="3"/>
  <c r="AQ62" i="3"/>
  <c r="AQ81" i="3"/>
  <c r="AU77" i="3"/>
  <c r="AQ57" i="3"/>
  <c r="AQ63" i="3"/>
  <c r="AU63" i="3" s="1"/>
  <c r="AQ70" i="3"/>
  <c r="AU96" i="2"/>
  <c r="AU68" i="2"/>
  <c r="M69" i="2"/>
  <c r="P69" i="2" s="1"/>
  <c r="V69" i="2" s="1"/>
  <c r="AQ77" i="2"/>
  <c r="AU77" i="2" s="1"/>
  <c r="AQ65" i="2"/>
  <c r="AQ54" i="2"/>
  <c r="AU54" i="2" s="1"/>
  <c r="AU69" i="1"/>
  <c r="AU18" i="1"/>
  <c r="AU64" i="1"/>
  <c r="AU49" i="1"/>
  <c r="M73" i="2"/>
  <c r="P73" i="2" s="1"/>
  <c r="V73" i="2" s="1"/>
  <c r="AU36" i="2"/>
  <c r="AU48" i="2"/>
  <c r="AQ42" i="2"/>
  <c r="AQ27" i="3"/>
  <c r="AU27" i="3" s="1"/>
  <c r="AT39" i="3"/>
  <c r="Z72" i="3"/>
  <c r="AF72" i="3" s="1"/>
  <c r="J56" i="3"/>
  <c r="N56" i="3" s="1"/>
  <c r="AQ34" i="3"/>
  <c r="AQ60" i="3"/>
  <c r="J68" i="3"/>
  <c r="N68" i="3" s="1"/>
  <c r="J64" i="3"/>
  <c r="AH88" i="3"/>
  <c r="M97" i="3"/>
  <c r="P97" i="3" s="1"/>
  <c r="V97" i="3" s="1"/>
  <c r="AI56" i="3"/>
  <c r="J51" i="3"/>
  <c r="N51" i="3" s="1"/>
  <c r="J38" i="3"/>
  <c r="N38" i="3" s="1"/>
  <c r="M38" i="3" s="1"/>
  <c r="P38" i="3" s="1"/>
  <c r="V38" i="3" s="1"/>
  <c r="AH38" i="3"/>
  <c r="AQ38" i="3" s="1"/>
  <c r="AS84" i="3"/>
  <c r="AR52" i="3"/>
  <c r="J107" i="3"/>
  <c r="N107" i="3" s="1"/>
  <c r="W19" i="3"/>
  <c r="Z19" i="3" s="1"/>
  <c r="AF19" i="3" s="1"/>
  <c r="J46" i="3"/>
  <c r="N46" i="3" s="1"/>
  <c r="M46" i="3" s="1"/>
  <c r="P46" i="3" s="1"/>
  <c r="V46" i="3" s="1"/>
  <c r="AR84" i="3"/>
  <c r="AR108" i="3" s="1"/>
  <c r="AR112" i="3" s="1"/>
  <c r="AI100" i="3"/>
  <c r="W100" i="3"/>
  <c r="Z100" i="3" s="1"/>
  <c r="AF100" i="3" s="1"/>
  <c r="J100" i="3"/>
  <c r="AH100" i="3"/>
  <c r="AT64" i="3"/>
  <c r="W87" i="3"/>
  <c r="Z87" i="3" s="1"/>
  <c r="AF87" i="3" s="1"/>
  <c r="AI87" i="3"/>
  <c r="AQ87" i="3" s="1"/>
  <c r="Y44" i="3"/>
  <c r="W44" i="3"/>
  <c r="Z42" i="2"/>
  <c r="AF42" i="2" s="1"/>
  <c r="AH49" i="3"/>
  <c r="AQ49" i="3" s="1"/>
  <c r="W36" i="3"/>
  <c r="Y36" i="3"/>
  <c r="W97" i="3"/>
  <c r="Z97" i="3" s="1"/>
  <c r="AI97" i="3"/>
  <c r="W92" i="3"/>
  <c r="Z92" i="3" s="1"/>
  <c r="AF92" i="3" s="1"/>
  <c r="AI92" i="3"/>
  <c r="AG84" i="3"/>
  <c r="J101" i="3"/>
  <c r="N101" i="3" s="1"/>
  <c r="AI68" i="3"/>
  <c r="AQ68" i="3" s="1"/>
  <c r="AQ55" i="3"/>
  <c r="AU55" i="3" s="1"/>
  <c r="AH46" i="3"/>
  <c r="Y29" i="2"/>
  <c r="Y108" i="2" s="1"/>
  <c r="Y112" i="2" s="1"/>
  <c r="AT52" i="2"/>
  <c r="AT88" i="3"/>
  <c r="AT68" i="3"/>
  <c r="AT91" i="3"/>
  <c r="W90" i="3"/>
  <c r="Z90" i="3" s="1"/>
  <c r="AF90" i="3" s="1"/>
  <c r="AI90" i="3"/>
  <c r="AQ90" i="3" s="1"/>
  <c r="W93" i="3"/>
  <c r="Z93" i="3" s="1"/>
  <c r="AF93" i="3" s="1"/>
  <c r="AI93" i="3"/>
  <c r="AQ93" i="3" s="1"/>
  <c r="AI64" i="3"/>
  <c r="AT87" i="3"/>
  <c r="W40" i="3"/>
  <c r="Y40" i="3"/>
  <c r="AT49" i="3"/>
  <c r="AU33" i="2"/>
  <c r="AU37" i="2"/>
  <c r="AU60" i="2"/>
  <c r="AQ93" i="2"/>
  <c r="AQ61" i="3"/>
  <c r="AQ78" i="3"/>
  <c r="I84" i="3"/>
  <c r="AQ67" i="3"/>
  <c r="AU67" i="3" s="1"/>
  <c r="AQ103" i="3"/>
  <c r="J106" i="3"/>
  <c r="AH32" i="3"/>
  <c r="AH29" i="3" s="1"/>
  <c r="H29" i="3"/>
  <c r="AH64" i="3"/>
  <c r="AI104" i="3"/>
  <c r="AQ104" i="3" s="1"/>
  <c r="W104" i="3"/>
  <c r="Z104" i="3" s="1"/>
  <c r="AF104" i="3" s="1"/>
  <c r="Z68" i="3"/>
  <c r="AF68" i="3" s="1"/>
  <c r="AI91" i="3"/>
  <c r="AQ91" i="3" s="1"/>
  <c r="W91" i="3"/>
  <c r="Z91" i="3" s="1"/>
  <c r="AF91" i="3" s="1"/>
  <c r="AI106" i="3"/>
  <c r="W106" i="3"/>
  <c r="Z106" i="3" s="1"/>
  <c r="AF106" i="3" s="1"/>
  <c r="AT48" i="3"/>
  <c r="Y32" i="3"/>
  <c r="W32" i="3"/>
  <c r="Z32" i="3" s="1"/>
  <c r="AF32" i="3" s="1"/>
  <c r="AH106" i="3"/>
  <c r="W86" i="3"/>
  <c r="Z86" i="3" s="1"/>
  <c r="AF86" i="3" s="1"/>
  <c r="AI86" i="3"/>
  <c r="AQ86" i="3" s="1"/>
  <c r="J96" i="3"/>
  <c r="N96" i="3" s="1"/>
  <c r="M96" i="3" s="1"/>
  <c r="P96" i="3" s="1"/>
  <c r="V96" i="3" s="1"/>
  <c r="AT96" i="3"/>
  <c r="W96" i="3"/>
  <c r="Z96" i="3" s="1"/>
  <c r="AF96" i="3" s="1"/>
  <c r="AI96" i="3"/>
  <c r="AQ96" i="3" s="1"/>
  <c r="AT99" i="3"/>
  <c r="AT98" i="3"/>
  <c r="W98" i="3"/>
  <c r="Z98" i="3" s="1"/>
  <c r="AF98" i="3" s="1"/>
  <c r="AI98" i="3"/>
  <c r="AI94" i="3"/>
  <c r="AQ94" i="3" s="1"/>
  <c r="W94" i="3"/>
  <c r="Z94" i="3" s="1"/>
  <c r="AF94" i="3" s="1"/>
  <c r="AT30" i="3"/>
  <c r="J87" i="3"/>
  <c r="N87" i="3" s="1"/>
  <c r="M87" i="3" s="1"/>
  <c r="P87" i="3" s="1"/>
  <c r="V87" i="3" s="1"/>
  <c r="W85" i="3"/>
  <c r="Z85" i="3" s="1"/>
  <c r="AF85" i="3" s="1"/>
  <c r="AI85" i="3"/>
  <c r="J92" i="3"/>
  <c r="W95" i="3"/>
  <c r="Z95" i="3" s="1"/>
  <c r="AF95" i="3" s="1"/>
  <c r="AI95" i="3"/>
  <c r="AH95" i="3"/>
  <c r="AQ95" i="3" s="1"/>
  <c r="AU95" i="3" s="1"/>
  <c r="AH85" i="3"/>
  <c r="AH97" i="3"/>
  <c r="AQ97" i="3" s="1"/>
  <c r="H108" i="2"/>
  <c r="H112" i="2" s="1"/>
  <c r="AQ105" i="3"/>
  <c r="AU105" i="3" s="1"/>
  <c r="AQ32" i="3"/>
  <c r="AQ98" i="3"/>
  <c r="AF52" i="2"/>
  <c r="W88" i="3"/>
  <c r="Z88" i="3" s="1"/>
  <c r="AF88" i="3" s="1"/>
  <c r="AI88" i="3"/>
  <c r="W46" i="3"/>
  <c r="Y46" i="3"/>
  <c r="W102" i="3"/>
  <c r="Z102" i="3" s="1"/>
  <c r="AF102" i="3" s="1"/>
  <c r="AI102" i="3"/>
  <c r="AT66" i="3"/>
  <c r="W89" i="3"/>
  <c r="Z89" i="3" s="1"/>
  <c r="AF89" i="3" s="1"/>
  <c r="AI89" i="3"/>
  <c r="AQ89" i="3" s="1"/>
  <c r="AI99" i="3"/>
  <c r="W99" i="3"/>
  <c r="Z99" i="3" s="1"/>
  <c r="AF99" i="3" s="1"/>
  <c r="AH99" i="3"/>
  <c r="G24" i="3"/>
  <c r="G108" i="3" s="1"/>
  <c r="G112" i="3" s="1"/>
  <c r="K28" i="3"/>
  <c r="Y49" i="3"/>
  <c r="W49" i="3"/>
  <c r="Z49" i="3" s="1"/>
  <c r="AF49" i="3" s="1"/>
  <c r="Y30" i="3"/>
  <c r="W30" i="3"/>
  <c r="AK84" i="3"/>
  <c r="Y38" i="3"/>
  <c r="W38" i="3"/>
  <c r="J99" i="3"/>
  <c r="N99" i="3" s="1"/>
  <c r="M99" i="3" s="1"/>
  <c r="P99" i="3" s="1"/>
  <c r="V99" i="3" s="1"/>
  <c r="M93" i="2"/>
  <c r="P93" i="2" s="1"/>
  <c r="V93" i="2" s="1"/>
  <c r="AU93" i="2" s="1"/>
  <c r="J52" i="2"/>
  <c r="AU76" i="2"/>
  <c r="AU63" i="2"/>
  <c r="AU65" i="2"/>
  <c r="AU74" i="2"/>
  <c r="AQ81" i="2"/>
  <c r="AU81" i="2" s="1"/>
  <c r="AU47" i="2"/>
  <c r="AI29" i="2"/>
  <c r="AQ20" i="2"/>
  <c r="M93" i="3"/>
  <c r="P93" i="3" s="1"/>
  <c r="V93" i="3" s="1"/>
  <c r="AQ71" i="3"/>
  <c r="AQ72" i="3"/>
  <c r="AQ53" i="3"/>
  <c r="M58" i="3"/>
  <c r="P58" i="3" s="1"/>
  <c r="V58" i="3" s="1"/>
  <c r="AU59" i="1"/>
  <c r="AU82" i="1"/>
  <c r="AU79" i="1"/>
  <c r="AU78" i="1"/>
  <c r="AU38" i="1"/>
  <c r="AU39" i="2"/>
  <c r="AI15" i="1"/>
  <c r="AI108" i="1" s="1"/>
  <c r="AI112" i="1" s="1"/>
  <c r="AU26" i="1"/>
  <c r="AU104" i="1"/>
  <c r="N29" i="1"/>
  <c r="AU36" i="1"/>
  <c r="AK15" i="3"/>
  <c r="AU26" i="2"/>
  <c r="W19" i="2"/>
  <c r="Z19" i="2" s="1"/>
  <c r="AF19" i="2" s="1"/>
  <c r="AU19" i="2" s="1"/>
  <c r="AU21" i="2"/>
  <c r="M91" i="3"/>
  <c r="P91" i="3" s="1"/>
  <c r="V91" i="3" s="1"/>
  <c r="K84" i="3"/>
  <c r="N78" i="3"/>
  <c r="M78" i="3" s="1"/>
  <c r="P78" i="3" s="1"/>
  <c r="V78" i="3" s="1"/>
  <c r="AQ69" i="3"/>
  <c r="N72" i="3"/>
  <c r="M72" i="3" s="1"/>
  <c r="P72" i="3" s="1"/>
  <c r="V72" i="3" s="1"/>
  <c r="AQ76" i="3"/>
  <c r="N60" i="3"/>
  <c r="M60" i="3" s="1"/>
  <c r="P60" i="3" s="1"/>
  <c r="V60" i="3" s="1"/>
  <c r="AU81" i="3"/>
  <c r="AQ59" i="3"/>
  <c r="N71" i="3"/>
  <c r="M71" i="3" s="1"/>
  <c r="P71" i="3" s="1"/>
  <c r="V71" i="3" s="1"/>
  <c r="AQ80" i="3"/>
  <c r="N69" i="3"/>
  <c r="M69" i="3" s="1"/>
  <c r="P69" i="3" s="1"/>
  <c r="V69" i="3" s="1"/>
  <c r="AQ79" i="3"/>
  <c r="AU79" i="3" s="1"/>
  <c r="N59" i="3"/>
  <c r="M59" i="3" s="1"/>
  <c r="P59" i="3" s="1"/>
  <c r="V59" i="3" s="1"/>
  <c r="N53" i="3"/>
  <c r="M53" i="3" s="1"/>
  <c r="P53" i="3" s="1"/>
  <c r="Z37" i="3"/>
  <c r="AF37" i="3" s="1"/>
  <c r="Z51" i="3"/>
  <c r="AF51" i="3" s="1"/>
  <c r="Z43" i="3"/>
  <c r="AF43" i="3" s="1"/>
  <c r="AU43" i="3" s="1"/>
  <c r="AQ47" i="3"/>
  <c r="Z41" i="3"/>
  <c r="AF41" i="3" s="1"/>
  <c r="Z31" i="3"/>
  <c r="AF31" i="3" s="1"/>
  <c r="AO108" i="3"/>
  <c r="AO112" i="3" s="1"/>
  <c r="AU42" i="3"/>
  <c r="M37" i="3"/>
  <c r="P37" i="3" s="1"/>
  <c r="V37" i="3" s="1"/>
  <c r="AU34" i="3"/>
  <c r="AQ36" i="3"/>
  <c r="M41" i="3"/>
  <c r="P41" i="3" s="1"/>
  <c r="V41" i="3" s="1"/>
  <c r="Z45" i="3"/>
  <c r="AF45" i="3" s="1"/>
  <c r="AQ45" i="3"/>
  <c r="Z35" i="3"/>
  <c r="AF35" i="3" s="1"/>
  <c r="Z39" i="3"/>
  <c r="AF39" i="3" s="1"/>
  <c r="AQ51" i="3"/>
  <c r="AT29" i="3"/>
  <c r="AQ43" i="3"/>
  <c r="Z47" i="3"/>
  <c r="AF47" i="3" s="1"/>
  <c r="Z48" i="3"/>
  <c r="AF48" i="3" s="1"/>
  <c r="AU48" i="3" s="1"/>
  <c r="AQ39" i="3"/>
  <c r="AQ37" i="3"/>
  <c r="AQ41" i="3"/>
  <c r="W27" i="3"/>
  <c r="Z27" i="3" s="1"/>
  <c r="AQ26" i="3"/>
  <c r="AU107" i="2"/>
  <c r="I108" i="2"/>
  <c r="I112" i="2" s="1"/>
  <c r="E108" i="2"/>
  <c r="E112" i="2" s="1"/>
  <c r="AT84" i="2"/>
  <c r="AL108" i="2"/>
  <c r="AL112" i="2" s="1"/>
  <c r="AQ105" i="2"/>
  <c r="AU105" i="2" s="1"/>
  <c r="AU38" i="2"/>
  <c r="AU66" i="2"/>
  <c r="AU69" i="2"/>
  <c r="AI52" i="2"/>
  <c r="AU46" i="2"/>
  <c r="AU45" i="2"/>
  <c r="AU43" i="2"/>
  <c r="AU35" i="2"/>
  <c r="AU62" i="2"/>
  <c r="Z41" i="2"/>
  <c r="AF41" i="2" s="1"/>
  <c r="AU41" i="2" s="1"/>
  <c r="AI24" i="2"/>
  <c r="W28" i="2"/>
  <c r="Z28" i="2" s="1"/>
  <c r="W25" i="2"/>
  <c r="W22" i="3"/>
  <c r="Z22" i="3" s="1"/>
  <c r="AF22" i="3" s="1"/>
  <c r="AJ108" i="3"/>
  <c r="AJ112" i="3" s="1"/>
  <c r="AL108" i="3"/>
  <c r="AL112" i="3" s="1"/>
  <c r="AQ20" i="3"/>
  <c r="AQ22" i="3"/>
  <c r="E108" i="3"/>
  <c r="E112" i="3" s="1"/>
  <c r="AT15" i="3"/>
  <c r="AN108" i="3"/>
  <c r="AN112" i="3" s="1"/>
  <c r="AQ18" i="3"/>
  <c r="AI21" i="3"/>
  <c r="AI15" i="3" s="1"/>
  <c r="P61" i="3"/>
  <c r="V61" i="3" s="1"/>
  <c r="N54" i="3"/>
  <c r="M54" i="3" s="1"/>
  <c r="N86" i="3"/>
  <c r="M86" i="3" s="1"/>
  <c r="P86" i="3" s="1"/>
  <c r="V86" i="3" s="1"/>
  <c r="J21" i="3"/>
  <c r="W26" i="3"/>
  <c r="Z26" i="3" s="1"/>
  <c r="AF26" i="3" s="1"/>
  <c r="N26" i="3"/>
  <c r="M26" i="3" s="1"/>
  <c r="P26" i="3" s="1"/>
  <c r="V26" i="3" s="1"/>
  <c r="AH66" i="3"/>
  <c r="N36" i="3"/>
  <c r="M36" i="3" s="1"/>
  <c r="P36" i="3" s="1"/>
  <c r="V36" i="3" s="1"/>
  <c r="AQ83" i="3"/>
  <c r="M51" i="3"/>
  <c r="P51" i="3" s="1"/>
  <c r="V51" i="3" s="1"/>
  <c r="AQ23" i="3"/>
  <c r="AI66" i="3"/>
  <c r="AQ54" i="3"/>
  <c r="AS108" i="3"/>
  <c r="AS112" i="3" s="1"/>
  <c r="AQ19" i="3"/>
  <c r="M45" i="3"/>
  <c r="P45" i="3" s="1"/>
  <c r="V45" i="3" s="1"/>
  <c r="W16" i="3"/>
  <c r="N16" i="3"/>
  <c r="Z53" i="3"/>
  <c r="W52" i="3"/>
  <c r="J102" i="3"/>
  <c r="AH21" i="3"/>
  <c r="K29" i="3"/>
  <c r="N20" i="3"/>
  <c r="M20" i="3" s="1"/>
  <c r="P20" i="3" s="1"/>
  <c r="V20" i="3" s="1"/>
  <c r="N64" i="3"/>
  <c r="M64" i="3" s="1"/>
  <c r="P64" i="3" s="1"/>
  <c r="V64" i="3" s="1"/>
  <c r="N106" i="3"/>
  <c r="M106" i="3" s="1"/>
  <c r="P106" i="3" s="1"/>
  <c r="V106" i="3" s="1"/>
  <c r="AQ25" i="3"/>
  <c r="P76" i="3"/>
  <c r="V76" i="3" s="1"/>
  <c r="N104" i="3"/>
  <c r="M104" i="3" s="1"/>
  <c r="P104" i="3" s="1"/>
  <c r="V104" i="3" s="1"/>
  <c r="AQ17" i="3"/>
  <c r="M70" i="3"/>
  <c r="P70" i="3" s="1"/>
  <c r="V70" i="3" s="1"/>
  <c r="AU70" i="3" s="1"/>
  <c r="AG52" i="3"/>
  <c r="N74" i="3"/>
  <c r="M74" i="3" s="1"/>
  <c r="P74" i="3" s="1"/>
  <c r="V74" i="3" s="1"/>
  <c r="M65" i="3"/>
  <c r="P65" i="3" s="1"/>
  <c r="V65" i="3" s="1"/>
  <c r="N90" i="3"/>
  <c r="M90" i="3" s="1"/>
  <c r="P90" i="3" s="1"/>
  <c r="V90" i="3" s="1"/>
  <c r="M47" i="3"/>
  <c r="P47" i="3" s="1"/>
  <c r="V47" i="3" s="1"/>
  <c r="AU47" i="3" s="1"/>
  <c r="I108" i="3"/>
  <c r="I112" i="3" s="1"/>
  <c r="N33" i="3"/>
  <c r="M33" i="3" s="1"/>
  <c r="P33" i="3" s="1"/>
  <c r="V33" i="3" s="1"/>
  <c r="M22" i="3"/>
  <c r="P22" i="3" s="1"/>
  <c r="V22" i="3" s="1"/>
  <c r="N31" i="3"/>
  <c r="M31" i="3" s="1"/>
  <c r="P31" i="3" s="1"/>
  <c r="V31" i="3" s="1"/>
  <c r="P35" i="3"/>
  <c r="V35" i="3" s="1"/>
  <c r="M73" i="3"/>
  <c r="P73" i="3" s="1"/>
  <c r="V73" i="3" s="1"/>
  <c r="AU73" i="3" s="1"/>
  <c r="N103" i="3"/>
  <c r="M103" i="3" s="1"/>
  <c r="P103" i="3" s="1"/>
  <c r="V103" i="3" s="1"/>
  <c r="M107" i="3"/>
  <c r="P107" i="3" s="1"/>
  <c r="V107" i="3" s="1"/>
  <c r="N18" i="3"/>
  <c r="M18" i="3" s="1"/>
  <c r="P18" i="3" s="1"/>
  <c r="V18" i="3" s="1"/>
  <c r="AI44" i="3"/>
  <c r="AQ44" i="3" s="1"/>
  <c r="N66" i="3"/>
  <c r="M66" i="3" s="1"/>
  <c r="P66" i="3" s="1"/>
  <c r="V66" i="3" s="1"/>
  <c r="N23" i="3"/>
  <c r="M23" i="3" s="1"/>
  <c r="P23" i="3" s="1"/>
  <c r="V23" i="3" s="1"/>
  <c r="W23" i="3"/>
  <c r="Z23" i="3" s="1"/>
  <c r="AF23" i="3" s="1"/>
  <c r="N85" i="3"/>
  <c r="M85" i="3" s="1"/>
  <c r="M56" i="3"/>
  <c r="P56" i="3" s="1"/>
  <c r="V56" i="3" s="1"/>
  <c r="W17" i="3"/>
  <c r="Z17" i="3" s="1"/>
  <c r="AF17" i="3" s="1"/>
  <c r="N17" i="3"/>
  <c r="M17" i="3" s="1"/>
  <c r="P17" i="3" s="1"/>
  <c r="V17" i="3" s="1"/>
  <c r="M68" i="3"/>
  <c r="P68" i="3" s="1"/>
  <c r="V68" i="3" s="1"/>
  <c r="N83" i="3"/>
  <c r="M83" i="3" s="1"/>
  <c r="P83" i="3" s="1"/>
  <c r="V83" i="3" s="1"/>
  <c r="N88" i="3"/>
  <c r="M88" i="3" s="1"/>
  <c r="P88" i="3" s="1"/>
  <c r="V88" i="3" s="1"/>
  <c r="N94" i="3"/>
  <c r="M94" i="3" s="1"/>
  <c r="P94" i="3" s="1"/>
  <c r="V94" i="3" s="1"/>
  <c r="N25" i="3"/>
  <c r="W25" i="3"/>
  <c r="AQ46" i="3"/>
  <c r="AQ30" i="3"/>
  <c r="AT52" i="3"/>
  <c r="N44" i="3"/>
  <c r="M44" i="3" s="1"/>
  <c r="P44" i="3" s="1"/>
  <c r="V44" i="3" s="1"/>
  <c r="N75" i="3"/>
  <c r="M75" i="3" s="1"/>
  <c r="P75" i="3" s="1"/>
  <c r="V75" i="3" s="1"/>
  <c r="AU75" i="3" s="1"/>
  <c r="N57" i="3"/>
  <c r="M57" i="3" s="1"/>
  <c r="P57" i="3" s="1"/>
  <c r="V57" i="3" s="1"/>
  <c r="AU57" i="3" s="1"/>
  <c r="N89" i="3"/>
  <c r="M89" i="3" s="1"/>
  <c r="P89" i="3" s="1"/>
  <c r="V89" i="3" s="1"/>
  <c r="M49" i="3"/>
  <c r="P49" i="3" s="1"/>
  <c r="V49" i="3" s="1"/>
  <c r="AQ16" i="3"/>
  <c r="AG15" i="3"/>
  <c r="W29" i="3"/>
  <c r="N32" i="3"/>
  <c r="M32" i="3" s="1"/>
  <c r="P32" i="3" s="1"/>
  <c r="V32" i="3" s="1"/>
  <c r="AU32" i="3" s="1"/>
  <c r="J29" i="3"/>
  <c r="N30" i="3"/>
  <c r="M30" i="3" s="1"/>
  <c r="Y29" i="3"/>
  <c r="Y108" i="3" s="1"/>
  <c r="Y112" i="3" s="1"/>
  <c r="AM108" i="3"/>
  <c r="AM112" i="3" s="1"/>
  <c r="K52" i="3"/>
  <c r="N50" i="3"/>
  <c r="M50" i="3" s="1"/>
  <c r="P50" i="3" s="1"/>
  <c r="V50" i="3" s="1"/>
  <c r="AU50" i="3" s="1"/>
  <c r="AU89" i="2"/>
  <c r="AU101" i="2"/>
  <c r="AT108" i="2"/>
  <c r="AU97" i="2"/>
  <c r="W84" i="2"/>
  <c r="N61" i="2"/>
  <c r="M61" i="2" s="1"/>
  <c r="P61" i="2" s="1"/>
  <c r="V61" i="2" s="1"/>
  <c r="AU61" i="2" s="1"/>
  <c r="AU55" i="2"/>
  <c r="Z52" i="2"/>
  <c r="W52" i="2"/>
  <c r="N82" i="2"/>
  <c r="M82" i="2" s="1"/>
  <c r="P82" i="2" s="1"/>
  <c r="V82" i="2" s="1"/>
  <c r="AU82" i="2" s="1"/>
  <c r="AQ78" i="2"/>
  <c r="AU78" i="2" s="1"/>
  <c r="M57" i="2"/>
  <c r="P57" i="2" s="1"/>
  <c r="V57" i="2" s="1"/>
  <c r="AU57" i="2" s="1"/>
  <c r="AQ73" i="2"/>
  <c r="AT112" i="2"/>
  <c r="N42" i="2"/>
  <c r="M42" i="2" s="1"/>
  <c r="P42" i="2" s="1"/>
  <c r="V42" i="2" s="1"/>
  <c r="AU42" i="2" s="1"/>
  <c r="AU50" i="2"/>
  <c r="AQ28" i="2"/>
  <c r="AU28" i="2" s="1"/>
  <c r="AU23" i="2"/>
  <c r="AU17" i="2"/>
  <c r="K108" i="2"/>
  <c r="K112" i="2" s="1"/>
  <c r="P85" i="2"/>
  <c r="J15" i="2"/>
  <c r="W16" i="2"/>
  <c r="N16" i="2"/>
  <c r="W18" i="2"/>
  <c r="Z18" i="2" s="1"/>
  <c r="AF18" i="2" s="1"/>
  <c r="N18" i="2"/>
  <c r="M18" i="2" s="1"/>
  <c r="P18" i="2" s="1"/>
  <c r="V18" i="2" s="1"/>
  <c r="N71" i="2"/>
  <c r="Z25" i="2"/>
  <c r="AQ16" i="2"/>
  <c r="AG15" i="2"/>
  <c r="AG108" i="2" s="1"/>
  <c r="AG112" i="2" s="1"/>
  <c r="M53" i="2"/>
  <c r="N90" i="2"/>
  <c r="M90" i="2" s="1"/>
  <c r="P90" i="2" s="1"/>
  <c r="V90" i="2" s="1"/>
  <c r="AU90" i="2" s="1"/>
  <c r="W20" i="2"/>
  <c r="Z20" i="2" s="1"/>
  <c r="AF20" i="2" s="1"/>
  <c r="N20" i="2"/>
  <c r="M20" i="2" s="1"/>
  <c r="P20" i="2" s="1"/>
  <c r="V20" i="2" s="1"/>
  <c r="AH15" i="2"/>
  <c r="AF85" i="2"/>
  <c r="AF84" i="2" s="1"/>
  <c r="Z84" i="2"/>
  <c r="W22" i="2"/>
  <c r="Z22" i="2" s="1"/>
  <c r="AF22" i="2" s="1"/>
  <c r="N22" i="2"/>
  <c r="M22" i="2" s="1"/>
  <c r="P22" i="2" s="1"/>
  <c r="V22" i="2" s="1"/>
  <c r="AH29" i="2"/>
  <c r="AQ30" i="2"/>
  <c r="N27" i="2"/>
  <c r="N24" i="2" s="1"/>
  <c r="W27" i="2"/>
  <c r="Z27" i="2" s="1"/>
  <c r="J84" i="2"/>
  <c r="J24" i="2"/>
  <c r="AF30" i="2"/>
  <c r="AF29" i="2" s="1"/>
  <c r="AQ86" i="2"/>
  <c r="AQ84" i="2" s="1"/>
  <c r="AH84" i="2"/>
  <c r="J29" i="2"/>
  <c r="N30" i="2"/>
  <c r="M25" i="2"/>
  <c r="N92" i="2"/>
  <c r="M92" i="2" s="1"/>
  <c r="P92" i="2" s="1"/>
  <c r="V92" i="2" s="1"/>
  <c r="AU92" i="2" s="1"/>
  <c r="N86" i="2"/>
  <c r="AH52" i="2"/>
  <c r="J15" i="1"/>
  <c r="N107" i="1"/>
  <c r="M107" i="1" s="1"/>
  <c r="P107" i="1" s="1"/>
  <c r="V107" i="1" s="1"/>
  <c r="AU107" i="1" s="1"/>
  <c r="N90" i="1"/>
  <c r="M90" i="1" s="1"/>
  <c r="P90" i="1" s="1"/>
  <c r="V90" i="1" s="1"/>
  <c r="AU90" i="1" s="1"/>
  <c r="V53" i="1"/>
  <c r="P52" i="1"/>
  <c r="AQ29" i="1"/>
  <c r="AQ17" i="1"/>
  <c r="AQ15" i="1" s="1"/>
  <c r="Z29" i="1"/>
  <c r="AH52" i="1"/>
  <c r="AQ53" i="1"/>
  <c r="AQ52" i="1" s="1"/>
  <c r="M32" i="1"/>
  <c r="P32" i="1" s="1"/>
  <c r="V32" i="1" s="1"/>
  <c r="AU32" i="1" s="1"/>
  <c r="W24" i="1"/>
  <c r="Z25" i="1"/>
  <c r="AH24" i="1"/>
  <c r="AQ25" i="1"/>
  <c r="AQ24" i="1" s="1"/>
  <c r="N52" i="1"/>
  <c r="W23" i="1"/>
  <c r="Z23" i="1" s="1"/>
  <c r="AF23" i="1" s="1"/>
  <c r="N23" i="1"/>
  <c r="M23" i="1" s="1"/>
  <c r="P23" i="1" s="1"/>
  <c r="V23" i="1" s="1"/>
  <c r="P30" i="1"/>
  <c r="AU20" i="1"/>
  <c r="N101" i="1"/>
  <c r="M101" i="1" s="1"/>
  <c r="P101" i="1" s="1"/>
  <c r="V101" i="1" s="1"/>
  <c r="AU101" i="1" s="1"/>
  <c r="W19" i="1"/>
  <c r="Z19" i="1" s="1"/>
  <c r="AF19" i="1" s="1"/>
  <c r="N19" i="1"/>
  <c r="M19" i="1" s="1"/>
  <c r="P19" i="1" s="1"/>
  <c r="V19" i="1" s="1"/>
  <c r="N89" i="1"/>
  <c r="AG15" i="1"/>
  <c r="AG108" i="1" s="1"/>
  <c r="AG112" i="1" s="1"/>
  <c r="AF29" i="1"/>
  <c r="N105" i="1"/>
  <c r="M105" i="1" s="1"/>
  <c r="P105" i="1" s="1"/>
  <c r="V105" i="1" s="1"/>
  <c r="AU105" i="1" s="1"/>
  <c r="M16" i="1"/>
  <c r="AH84" i="1"/>
  <c r="AU55" i="1"/>
  <c r="W21" i="1"/>
  <c r="Z21" i="1" s="1"/>
  <c r="AF21" i="1" s="1"/>
  <c r="N21" i="1"/>
  <c r="M21" i="1" s="1"/>
  <c r="P21" i="1" s="1"/>
  <c r="V21" i="1" s="1"/>
  <c r="K108" i="1"/>
  <c r="K112" i="1" s="1"/>
  <c r="AU27" i="1"/>
  <c r="M24" i="1"/>
  <c r="AH15" i="1"/>
  <c r="N24" i="1"/>
  <c r="M85" i="1"/>
  <c r="P25" i="1"/>
  <c r="W17" i="1"/>
  <c r="Z17" i="1" s="1"/>
  <c r="AF17" i="1" s="1"/>
  <c r="N17" i="1"/>
  <c r="Z16" i="1"/>
  <c r="J84" i="1"/>
  <c r="M52" i="1"/>
  <c r="AU80" i="3" l="1"/>
  <c r="AH52" i="3"/>
  <c r="AU35" i="3"/>
  <c r="AQ106" i="3"/>
  <c r="Z36" i="3"/>
  <c r="AF36" i="3" s="1"/>
  <c r="AU36" i="3" s="1"/>
  <c r="N15" i="1"/>
  <c r="AU82" i="3"/>
  <c r="AU65" i="3"/>
  <c r="AU22" i="3"/>
  <c r="AU76" i="3"/>
  <c r="AU51" i="3"/>
  <c r="AQ100" i="3"/>
  <c r="AU45" i="3"/>
  <c r="AU59" i="3"/>
  <c r="Z29" i="2"/>
  <c r="AQ29" i="2"/>
  <c r="AQ15" i="2"/>
  <c r="AU107" i="3"/>
  <c r="AU33" i="3"/>
  <c r="M101" i="3"/>
  <c r="P101" i="3" s="1"/>
  <c r="V101" i="3" s="1"/>
  <c r="AU101" i="3" s="1"/>
  <c r="AU19" i="3"/>
  <c r="AU60" i="3"/>
  <c r="AQ99" i="3"/>
  <c r="AU99" i="3" s="1"/>
  <c r="AQ102" i="3"/>
  <c r="AQ56" i="3"/>
  <c r="AU90" i="3"/>
  <c r="AT84" i="3"/>
  <c r="AT108" i="3" s="1"/>
  <c r="AQ92" i="3"/>
  <c r="AI84" i="3"/>
  <c r="W84" i="3"/>
  <c r="AU74" i="3"/>
  <c r="AI52" i="3"/>
  <c r="AU68" i="3"/>
  <c r="J52" i="3"/>
  <c r="AU71" i="3"/>
  <c r="AU62" i="3"/>
  <c r="AU78" i="3"/>
  <c r="AK108" i="3"/>
  <c r="AK112" i="3" s="1"/>
  <c r="AI108" i="2"/>
  <c r="AI112" i="2" s="1"/>
  <c r="AU26" i="3"/>
  <c r="AU103" i="3"/>
  <c r="AU58" i="3"/>
  <c r="AU61" i="3"/>
  <c r="AU83" i="3"/>
  <c r="AU69" i="3"/>
  <c r="AQ64" i="3"/>
  <c r="AU64" i="3" s="1"/>
  <c r="AU87" i="3"/>
  <c r="AH84" i="3"/>
  <c r="AU96" i="3"/>
  <c r="AF97" i="3"/>
  <c r="AU97" i="3" s="1"/>
  <c r="Z84" i="3"/>
  <c r="AU89" i="3"/>
  <c r="N84" i="1"/>
  <c r="AU19" i="1"/>
  <c r="AU31" i="3"/>
  <c r="AU93" i="3"/>
  <c r="Z38" i="3"/>
  <c r="AF38" i="3" s="1"/>
  <c r="AU38" i="3" s="1"/>
  <c r="AQ85" i="3"/>
  <c r="N92" i="3"/>
  <c r="M92" i="3" s="1"/>
  <c r="P92" i="3" s="1"/>
  <c r="V92" i="3" s="1"/>
  <c r="AU92" i="3" s="1"/>
  <c r="AQ88" i="3"/>
  <c r="AU88" i="3" s="1"/>
  <c r="AU23" i="1"/>
  <c r="AU49" i="3"/>
  <c r="AU56" i="3"/>
  <c r="AU106" i="3"/>
  <c r="AU86" i="3"/>
  <c r="AU91" i="3"/>
  <c r="N100" i="3"/>
  <c r="M100" i="3" s="1"/>
  <c r="P100" i="3" s="1"/>
  <c r="V100" i="3" s="1"/>
  <c r="AU100" i="3" s="1"/>
  <c r="Z46" i="3"/>
  <c r="AF46" i="3" s="1"/>
  <c r="AU46" i="3" s="1"/>
  <c r="Z40" i="3"/>
  <c r="AF40" i="3" s="1"/>
  <c r="AU40" i="3" s="1"/>
  <c r="AU104" i="3"/>
  <c r="AU94" i="3"/>
  <c r="AU39" i="3"/>
  <c r="AU72" i="3"/>
  <c r="Z30" i="3"/>
  <c r="AF30" i="3" s="1"/>
  <c r="AF29" i="3" s="1"/>
  <c r="AI28" i="3"/>
  <c r="AI24" i="3" s="1"/>
  <c r="AH28" i="3"/>
  <c r="J28" i="3"/>
  <c r="K24" i="3"/>
  <c r="Z44" i="3"/>
  <c r="AF44" i="3" s="1"/>
  <c r="AU44" i="3" s="1"/>
  <c r="AQ52" i="2"/>
  <c r="N29" i="2"/>
  <c r="M89" i="1"/>
  <c r="P89" i="1" s="1"/>
  <c r="V89" i="1" s="1"/>
  <c r="AU89" i="1" s="1"/>
  <c r="M29" i="1"/>
  <c r="AQ21" i="3"/>
  <c r="AQ15" i="3" s="1"/>
  <c r="J108" i="1"/>
  <c r="J112" i="1" s="1"/>
  <c r="AQ108" i="1"/>
  <c r="K108" i="3"/>
  <c r="K112" i="3" s="1"/>
  <c r="N52" i="3"/>
  <c r="AU37" i="3"/>
  <c r="AU41" i="3"/>
  <c r="N84" i="2"/>
  <c r="AU73" i="2"/>
  <c r="AU20" i="3"/>
  <c r="AU18" i="2"/>
  <c r="AT112" i="3"/>
  <c r="AU17" i="3"/>
  <c r="AU18" i="3"/>
  <c r="AU23" i="3"/>
  <c r="AG108" i="3"/>
  <c r="AG112" i="3" s="1"/>
  <c r="P54" i="3"/>
  <c r="V54" i="3" s="1"/>
  <c r="AU54" i="3" s="1"/>
  <c r="M52" i="3"/>
  <c r="AQ29" i="3"/>
  <c r="W21" i="3"/>
  <c r="Z21" i="3" s="1"/>
  <c r="AF21" i="3" s="1"/>
  <c r="N21" i="3"/>
  <c r="M21" i="3" s="1"/>
  <c r="P21" i="3" s="1"/>
  <c r="V21" i="3" s="1"/>
  <c r="M25" i="3"/>
  <c r="P85" i="3"/>
  <c r="N102" i="3"/>
  <c r="M102" i="3" s="1"/>
  <c r="M16" i="3"/>
  <c r="AI29" i="3"/>
  <c r="Z16" i="3"/>
  <c r="M29" i="3"/>
  <c r="P30" i="3"/>
  <c r="V53" i="3"/>
  <c r="V52" i="3" s="1"/>
  <c r="N29" i="3"/>
  <c r="Z25" i="3"/>
  <c r="J84" i="3"/>
  <c r="AF53" i="3"/>
  <c r="AF52" i="3" s="1"/>
  <c r="Z52" i="3"/>
  <c r="AH15" i="3"/>
  <c r="J15" i="3"/>
  <c r="AQ66" i="3"/>
  <c r="M86" i="2"/>
  <c r="P86" i="2" s="1"/>
  <c r="V86" i="2" s="1"/>
  <c r="AU86" i="2" s="1"/>
  <c r="N52" i="2"/>
  <c r="AU20" i="2"/>
  <c r="M30" i="2"/>
  <c r="M29" i="2" s="1"/>
  <c r="AH108" i="2"/>
  <c r="AH112" i="2" s="1"/>
  <c r="AQ24" i="2"/>
  <c r="M27" i="2"/>
  <c r="P27" i="2" s="1"/>
  <c r="V27" i="2" s="1"/>
  <c r="AU27" i="2" s="1"/>
  <c r="AU22" i="2"/>
  <c r="AF25" i="2"/>
  <c r="AF24" i="2" s="1"/>
  <c r="Z24" i="2"/>
  <c r="M71" i="2"/>
  <c r="P71" i="2" s="1"/>
  <c r="V71" i="2" s="1"/>
  <c r="AU71" i="2" s="1"/>
  <c r="P25" i="2"/>
  <c r="P53" i="2"/>
  <c r="W24" i="2"/>
  <c r="N15" i="2"/>
  <c r="J108" i="2"/>
  <c r="J112" i="2" s="1"/>
  <c r="W15" i="2"/>
  <c r="Z16" i="2"/>
  <c r="V85" i="2"/>
  <c r="M16" i="2"/>
  <c r="W15" i="1"/>
  <c r="W108" i="1" s="1"/>
  <c r="W112" i="1" s="1"/>
  <c r="Z112" i="1" s="1"/>
  <c r="N108" i="1"/>
  <c r="N112" i="1" s="1"/>
  <c r="P16" i="1"/>
  <c r="V52" i="1"/>
  <c r="AU53" i="1"/>
  <c r="AU52" i="1" s="1"/>
  <c r="P24" i="1"/>
  <c r="V25" i="1"/>
  <c r="AU21" i="1"/>
  <c r="M17" i="1"/>
  <c r="P17" i="1" s="1"/>
  <c r="V17" i="1" s="1"/>
  <c r="AU17" i="1" s="1"/>
  <c r="P85" i="1"/>
  <c r="AF25" i="1"/>
  <c r="AF24" i="1" s="1"/>
  <c r="Z24" i="1"/>
  <c r="Z15" i="1"/>
  <c r="AF16" i="1"/>
  <c r="AF15" i="1" s="1"/>
  <c r="AH108" i="1"/>
  <c r="AH112" i="1" s="1"/>
  <c r="AQ112" i="1" s="1"/>
  <c r="V30" i="1"/>
  <c r="P29" i="1"/>
  <c r="Z29" i="3" l="1"/>
  <c r="AQ52" i="3"/>
  <c r="AI108" i="3"/>
  <c r="AI112" i="3" s="1"/>
  <c r="AQ112" i="2"/>
  <c r="AQ84" i="3"/>
  <c r="AQ108" i="2"/>
  <c r="AH24" i="3"/>
  <c r="AH108" i="3" s="1"/>
  <c r="AH112" i="3" s="1"/>
  <c r="AQ28" i="3"/>
  <c r="AQ24" i="3" s="1"/>
  <c r="M24" i="2"/>
  <c r="AF84" i="3"/>
  <c r="W28" i="3"/>
  <c r="J24" i="3"/>
  <c r="J108" i="3" s="1"/>
  <c r="J112" i="3" s="1"/>
  <c r="N28" i="3"/>
  <c r="P52" i="3"/>
  <c r="N108" i="2"/>
  <c r="N112" i="2" s="1"/>
  <c r="P84" i="2"/>
  <c r="M84" i="1"/>
  <c r="Z108" i="1"/>
  <c r="M84" i="2"/>
  <c r="P30" i="2"/>
  <c r="P29" i="2" s="1"/>
  <c r="W15" i="3"/>
  <c r="AU21" i="3"/>
  <c r="M84" i="3"/>
  <c r="P102" i="3"/>
  <c r="V102" i="3" s="1"/>
  <c r="AU102" i="3" s="1"/>
  <c r="N84" i="3"/>
  <c r="P25" i="3"/>
  <c r="AU66" i="3"/>
  <c r="AU53" i="3"/>
  <c r="N15" i="3"/>
  <c r="AF25" i="3"/>
  <c r="AF24" i="3" s="1"/>
  <c r="AF16" i="3"/>
  <c r="AF15" i="3" s="1"/>
  <c r="Z15" i="3"/>
  <c r="M15" i="3"/>
  <c r="P16" i="3"/>
  <c r="P29" i="3"/>
  <c r="V30" i="3"/>
  <c r="V29" i="3" s="1"/>
  <c r="V85" i="3"/>
  <c r="M15" i="2"/>
  <c r="P16" i="2"/>
  <c r="AF16" i="2"/>
  <c r="AF15" i="2" s="1"/>
  <c r="AF108" i="2" s="1"/>
  <c r="AF112" i="2" s="1"/>
  <c r="Z15" i="2"/>
  <c r="Z108" i="2" s="1"/>
  <c r="W108" i="2"/>
  <c r="W112" i="2" s="1"/>
  <c r="Z112" i="2" s="1"/>
  <c r="P52" i="2"/>
  <c r="V53" i="2"/>
  <c r="AU85" i="2"/>
  <c r="AU84" i="2" s="1"/>
  <c r="V84" i="2"/>
  <c r="M52" i="2"/>
  <c r="V25" i="2"/>
  <c r="P24" i="2"/>
  <c r="M15" i="1"/>
  <c r="AF108" i="1"/>
  <c r="AF112" i="1" s="1"/>
  <c r="AU30" i="1"/>
  <c r="AU29" i="1" s="1"/>
  <c r="V29" i="1"/>
  <c r="V24" i="1"/>
  <c r="AU25" i="1"/>
  <c r="AU24" i="1" s="1"/>
  <c r="P84" i="1"/>
  <c r="V85" i="1"/>
  <c r="V16" i="1"/>
  <c r="P15" i="1"/>
  <c r="AQ108" i="3" l="1"/>
  <c r="AQ112" i="3"/>
  <c r="P84" i="3"/>
  <c r="V84" i="3"/>
  <c r="Z28" i="3"/>
  <c r="Z24" i="3" s="1"/>
  <c r="Z108" i="3" s="1"/>
  <c r="W24" i="3"/>
  <c r="W108" i="3" s="1"/>
  <c r="W112" i="3" s="1"/>
  <c r="Z112" i="3" s="1"/>
  <c r="M28" i="3"/>
  <c r="N24" i="3"/>
  <c r="N108" i="3" s="1"/>
  <c r="N112" i="3" s="1"/>
  <c r="V30" i="2"/>
  <c r="AU30" i="2" s="1"/>
  <c r="AU29" i="2" s="1"/>
  <c r="M108" i="1"/>
  <c r="M112" i="1" s="1"/>
  <c r="P112" i="1" s="1"/>
  <c r="V112" i="1" s="1"/>
  <c r="AU112" i="1" s="1"/>
  <c r="M108" i="2"/>
  <c r="M112" i="2" s="1"/>
  <c r="P112" i="2" s="1"/>
  <c r="V112" i="2" s="1"/>
  <c r="AU112" i="2" s="1"/>
  <c r="AF108" i="3"/>
  <c r="AF112" i="3" s="1"/>
  <c r="AU85" i="3"/>
  <c r="AU84" i="3" s="1"/>
  <c r="AU30" i="3"/>
  <c r="AU29" i="3" s="1"/>
  <c r="V25" i="3"/>
  <c r="P15" i="3"/>
  <c r="V16" i="3"/>
  <c r="V15" i="3" s="1"/>
  <c r="AU52" i="3"/>
  <c r="V24" i="2"/>
  <c r="AU25" i="2"/>
  <c r="AU24" i="2" s="1"/>
  <c r="P15" i="2"/>
  <c r="P108" i="2" s="1"/>
  <c r="V16" i="2"/>
  <c r="V52" i="2"/>
  <c r="AU53" i="2"/>
  <c r="AU52" i="2" s="1"/>
  <c r="AU16" i="1"/>
  <c r="AU15" i="1" s="1"/>
  <c r="V15" i="1"/>
  <c r="AU85" i="1"/>
  <c r="AU84" i="1" s="1"/>
  <c r="V84" i="1"/>
  <c r="P108" i="1"/>
  <c r="V29" i="2" l="1"/>
  <c r="P28" i="3"/>
  <c r="M24" i="3"/>
  <c r="M108" i="3" s="1"/>
  <c r="M112" i="3" s="1"/>
  <c r="P112" i="3" s="1"/>
  <c r="V112" i="3" s="1"/>
  <c r="AU112" i="3" s="1"/>
  <c r="AU108" i="1"/>
  <c r="AU25" i="3"/>
  <c r="AU16" i="3"/>
  <c r="AU15" i="3" s="1"/>
  <c r="V15" i="2"/>
  <c r="V108" i="2" s="1"/>
  <c r="AU16" i="2"/>
  <c r="AU15" i="2" s="1"/>
  <c r="AU108" i="2" s="1"/>
  <c r="V108" i="1"/>
  <c r="V28" i="3" l="1"/>
  <c r="P24" i="3"/>
  <c r="P108" i="3" s="1"/>
  <c r="AU28" i="3" l="1"/>
  <c r="AU24" i="3" s="1"/>
  <c r="AU108" i="3" s="1"/>
  <c r="V24" i="3"/>
  <c r="V10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s>
  <commentList>
    <comment ref="A4" authorId="0" shapeId="0" xr:uid="{00000000-0006-0000-0000-000001000000}">
      <text>
        <r>
          <rPr>
            <sz val="9"/>
            <color rgb="FF000000"/>
            <rFont val="Tahoma"/>
            <family val="2"/>
          </rPr>
          <t xml:space="preserve">Haga uso de la lista desplegable para seleccionar la sección respectiva.
</t>
        </r>
        <r>
          <rPr>
            <sz val="9"/>
            <color rgb="FF000000"/>
            <rFont val="Tahoma"/>
            <family val="2"/>
          </rPr>
          <t xml:space="preserve">
</t>
        </r>
        <r>
          <rPr>
            <sz val="9"/>
            <color rgb="FF000000"/>
            <rFont val="Tahoma"/>
            <family val="2"/>
          </rPr>
          <t xml:space="preserve">En caso de que la unidad ejecutora sea nueva y no aparezca en la lista, por favor enviar un correo a </t>
        </r>
        <r>
          <rPr>
            <u/>
            <sz val="9"/>
            <color rgb="FF000000"/>
            <rFont val="Tahoma"/>
            <family val="2"/>
          </rPr>
          <t>proyecto_presupuesto@minhacienda.gov.co</t>
        </r>
        <r>
          <rPr>
            <sz val="9"/>
            <color rgb="FF000000"/>
            <rFont val="Tahoma"/>
            <family val="2"/>
          </rPr>
          <t xml:space="preserve"> dando a conocer el caso específico para remitir un nuevo formulario. </t>
        </r>
      </text>
    </comment>
    <comment ref="A5" authorId="1" shapeId="0" xr:uid="{00000000-0006-0000-0000-000002000000}">
      <text>
        <r>
          <rPr>
            <sz val="9"/>
            <color indexed="81"/>
            <rFont val="Tahoma"/>
            <family val="2"/>
          </rPr>
          <t>El nombre de la unidad ejecutora se desplegará automáticamente después de seleccionar la sección.</t>
        </r>
      </text>
    </comment>
    <comment ref="D9" authorId="2" shapeId="0" xr:uid="{00000000-0006-0000-0000-000003000000}">
      <text>
        <r>
          <rPr>
            <sz val="9"/>
            <color rgb="FF000000"/>
            <rFont val="Tahoma"/>
            <family val="2"/>
          </rPr>
          <t xml:space="preserve">Comprende las remuneraciones pagadas en efectivo o en especie a los empleados vinculados laboralmente con el Estado, como contraprestación por los servicios prestados.
</t>
        </r>
        <r>
          <rPr>
            <sz val="9"/>
            <color rgb="FF000000"/>
            <rFont val="Tahoma"/>
            <family val="2"/>
          </rPr>
          <t xml:space="preserve">
</t>
        </r>
        <r>
          <rPr>
            <sz val="9"/>
            <color rgb="FF000000"/>
            <rFont val="Tahoma"/>
            <family val="2"/>
          </rPr>
          <t xml:space="preserve">SE COMPONE DE UN SUELDO BÁSICO Y POR LOS DEMÁS PAGOS QUE TIENEN COMO FINALIDAD REMUNERAR EL TRABAJO DEL EMPLEADO. 
</t>
        </r>
      </text>
    </comment>
    <comment ref="W9" authorId="2" shapeId="0" xr:uid="{00000000-0006-0000-0000-000004000000}">
      <text>
        <r>
          <rPr>
            <sz val="9"/>
            <color indexed="81"/>
            <rFont val="Tahoma"/>
            <family val="2"/>
          </rPr>
          <t xml:space="preserve">Corresponde a los gastos del personal vinculado laboralmente con el Estado que la ley  </t>
        </r>
        <r>
          <rPr>
            <b/>
            <sz val="9"/>
            <color indexed="81"/>
            <rFont val="Tahoma"/>
            <family val="2"/>
          </rPr>
          <t>NO</t>
        </r>
        <r>
          <rPr>
            <sz val="9"/>
            <color indexed="81"/>
            <rFont val="Tahoma"/>
            <family val="2"/>
          </rPr>
          <t xml:space="preserve"> </t>
        </r>
        <r>
          <rPr>
            <b/>
            <sz val="9"/>
            <color indexed="81"/>
            <rFont val="Tahoma"/>
            <family val="2"/>
          </rPr>
          <t>RECONOCE</t>
        </r>
        <r>
          <rPr>
            <sz val="9"/>
            <color indexed="81"/>
            <rFont val="Tahoma"/>
            <family val="2"/>
          </rPr>
          <t xml:space="preserve"> como constitutivos de factor salarial. 
Incluye los beneficios que se reconocen a favor de los servidores públicos que solamente constituyen factor, para efectos de determinar el ingreso base de cotización (IBC) del Sistema General de Pensiones, y para la cotización al Sistema General de Seguridad Social en Salud.
</t>
        </r>
      </text>
    </comment>
    <comment ref="AG9" authorId="2" shapeId="0" xr:uid="{00000000-0006-0000-0000-000005000000}">
      <text>
        <r>
          <rPr>
            <sz val="9"/>
            <color indexed="81"/>
            <rFont val="Tahoma"/>
            <family val="2"/>
          </rPr>
          <t>Corresponde a las contribuciones legales que debe hacer una entidad como empleadora, a entidades del sector privado y público.</t>
        </r>
      </text>
    </comment>
    <comment ref="AR9" authorId="2" shapeId="0" xr:uid="{00000000-0006-0000-0000-000006000000}">
      <text>
        <r>
          <rPr>
            <sz val="9"/>
            <color indexed="81"/>
            <rFont val="Tahoma"/>
            <family val="2"/>
          </rPr>
          <t>Comprende las transferencias corrientes que los órganos del PGN hacen directamente a sus empleados para cubrir necesidades derivadas de riesgos sociales. 
INCLUYE  EL RECONOCIMIENTO DE SALARIOS DURANTE</t>
        </r>
        <r>
          <rPr>
            <b/>
            <sz val="9"/>
            <color indexed="81"/>
            <rFont val="Tahoma"/>
            <family val="2"/>
          </rPr>
          <t xml:space="preserve"> PERIODOS DE AUSENCIA DEL TRABAJO DEBIDO A INCAPACIDAD MÉDICA, ACCIDENTES Y LICENCIAS DE MATERNIDAD Y PATERNIDAD </t>
        </r>
        <r>
          <rPr>
            <sz val="9"/>
            <color indexed="81"/>
            <rFont val="Tahoma"/>
            <family val="2"/>
          </rPr>
          <t xml:space="preserve">TENIENDO EN CUENTA QUE LA NATURALEZA ECONÓMICA DE ESTOS GASTOS CONSTITUYEN LA ENTREGA DE RECURSOS POR PARTE DE UNA UNIDAD DE GOBIERNO A SUS EMPLEADOS SIN RECIBIR DE ESTOS NINGUNA CONTRAPRESTACIÓN DE SERVICIOS, SINO CON EL FIN DE CUBRIR UNA NECESIDAD DERIVADA DE UN RIESGO SOCIAL.
</t>
        </r>
      </text>
    </comment>
    <comment ref="D10" authorId="2" shapeId="0" xr:uid="{00000000-0006-0000-0000-000007000000}">
      <text>
        <r>
          <rPr>
            <sz val="9"/>
            <color indexed="81"/>
            <rFont val="Tahoma"/>
            <family val="2"/>
          </rPr>
          <t>Corresponde a los componentes del salario que son comunes   a todo el personal vinculado laboralmente con el Estado (empleados públicos y trabajadores oficiales), de conformidad con lo señalado en el Decreto Ley 1042 de 1978</t>
        </r>
      </text>
    </comment>
    <comment ref="Q10" authorId="2" shapeId="0" xr:uid="{00000000-0006-0000-0000-000008000000}">
      <text>
        <r>
          <rPr>
            <sz val="9"/>
            <color indexed="81"/>
            <rFont val="Tahoma"/>
            <family val="2"/>
          </rPr>
          <t xml:space="preserve">Corresponde a los componentes del salario de los sistemas especiales de remuneración, legalmente aprobados, y que se rigen por disposiciones particulares para determinados regímenes laborales.
SE CARACTERIZAN POR NO SER COMUNES A TODOS LOS EMPLEADOS
</t>
        </r>
      </text>
    </comment>
    <comment ref="W10" authorId="2" shapeId="0" xr:uid="{00000000-0006-0000-0000-000009000000}">
      <text>
        <r>
          <rPr>
            <sz val="9"/>
            <color rgb="FF000000"/>
            <rFont val="Tahoma"/>
            <family val="2"/>
          </rPr>
          <t xml:space="preserve">Comprenden  las prestaciones sociales que la ley reconoce a los servidores públicos con el fin de cubrir riesgos o necesidades del trabajador en relación o con motivo de su trabajo.
</t>
        </r>
        <r>
          <rPr>
            <sz val="9"/>
            <color rgb="FF000000"/>
            <rFont val="Tahoma"/>
            <family val="2"/>
          </rPr>
          <t xml:space="preserve">
</t>
        </r>
        <r>
          <rPr>
            <sz val="9"/>
            <color rgb="FF000000"/>
            <rFont val="Tahoma"/>
            <family val="2"/>
          </rPr>
          <t xml:space="preserve">ESTAS PRESTACIONES </t>
        </r>
        <r>
          <rPr>
            <b/>
            <sz val="9"/>
            <color rgb="FF000000"/>
            <rFont val="Tahoma"/>
            <family val="2"/>
          </rPr>
          <t xml:space="preserve">NO </t>
        </r>
        <r>
          <rPr>
            <sz val="9"/>
            <color rgb="FF000000"/>
            <rFont val="Tahoma"/>
            <family val="2"/>
          </rPr>
          <t>RETRIBUYEN DIRECTAMENTE LOS SERVICIOS PRESTADOS POR LOS TRABAJADORES</t>
        </r>
      </text>
    </comment>
    <comment ref="AA10" authorId="2" shapeId="0" xr:uid="{00000000-0006-0000-0000-00000A000000}">
      <text>
        <r>
          <rPr>
            <sz val="9"/>
            <color indexed="81"/>
            <rFont val="Tahoma"/>
            <family val="2"/>
          </rPr>
          <t xml:space="preserve">Corresponde a las remuneraciones  no constitutivas de factor salarial que reconoce una unidad de gobierno a sus empleados y no se incluyen como "Prestaciones sociales según definición legal"
</t>
        </r>
      </text>
    </comment>
    <comment ref="AG10" authorId="2" shapeId="0" xr:uid="{00000000-0006-0000-0000-00000B000000}">
      <text>
        <r>
          <rPr>
            <sz val="9"/>
            <color indexed="81"/>
            <rFont val="Tahoma"/>
            <family val="2"/>
          </rPr>
          <t xml:space="preserve">Es la contribución social a pagar por los empleadores a los fondos de seguridad social en pensiones del Sistema General de Pensiones de conformidad con lo que establece la  Ley 100 de 1993
</t>
        </r>
      </text>
    </comment>
    <comment ref="AH10" authorId="2" shapeId="0" xr:uid="{00000000-0006-0000-0000-00000C000000}">
      <text>
        <r>
          <rPr>
            <sz val="9"/>
            <color indexed="81"/>
            <rFont val="Tahoma"/>
            <family val="2"/>
          </rPr>
          <t>Es la contribución social a pagar por los empleadores a las Entidades Promotoras en Salud - EPS  del Sistema General de Seguridad Social en Salud, para el cubrimiento de riesgos de salud de sus empleados de conformidad con lo que establece la Ley 100 de 1993</t>
        </r>
      </text>
    </comment>
    <comment ref="AI10" authorId="2" shapeId="0" xr:uid="{00000000-0006-0000-0000-00000D000000}">
      <text>
        <r>
          <rPr>
            <sz val="9"/>
            <color indexed="81"/>
            <rFont val="Tahoma"/>
            <family val="2"/>
          </rPr>
          <t>Es la contribución que el empleador está obligado a pagar en razón de un mes de sueldo o jornal por cada año de servicio de su empleado, proporcionalmente fraccionado a favor de un fondo administrador de cesantías.</t>
        </r>
      </text>
    </comment>
    <comment ref="AK10" authorId="2" shapeId="0" xr:uid="{00000000-0006-0000-0000-00000E000000}">
      <text>
        <r>
          <rPr>
            <sz val="9"/>
            <color indexed="81"/>
            <rFont val="Tahoma"/>
            <family val="2"/>
          </rPr>
          <t>Es la contribución a pagar por los empleadores a una Administradora de Riesgos Laborales - ARL para el cubrimiento de las prestaciones económicas y asistenciales derivadas de un accidente de trabajo o una enfermedad profesional.</t>
        </r>
      </text>
    </comment>
    <comment ref="AL10" authorId="2" shapeId="0" xr:uid="{00000000-0006-0000-0000-00000F000000}">
      <text>
        <r>
          <rPr>
            <sz val="9"/>
            <color indexed="81"/>
            <rFont val="Tahoma"/>
            <family val="2"/>
          </rPr>
          <t>Es la contribución parafiscal a pagar por todos los patronos y entidades públicas y privadas  al Instituto Colombiano de Bienestar Familiar (ICBF)</t>
        </r>
      </text>
    </comment>
    <comment ref="AM10" authorId="2" shapeId="0" xr:uid="{00000000-0006-0000-0000-000010000000}">
      <text>
        <r>
          <rPr>
            <sz val="9"/>
            <color indexed="81"/>
            <rFont val="Tahoma"/>
            <family val="2"/>
          </rPr>
          <t xml:space="preserve">Es la contribución parafiscal a pagar por la Nación a favor del Servicio Nacional de Aprendizaje (SENA).
</t>
        </r>
      </text>
    </comment>
    <comment ref="AN10" authorId="2" shapeId="0" xr:uid="{00000000-0006-0000-0000-000011000000}">
      <text>
        <r>
          <rPr>
            <sz val="9"/>
            <color indexed="81"/>
            <rFont val="Tahoma"/>
            <family val="2"/>
          </rPr>
          <t>Contribución parafiscal a pagar por la Nación, los departamentos, intendencias, comisarías, el Distrito Especial de Bogotá y los municipios empleadores a la Escuela  Superior de Administración Pública (ESAP).</t>
        </r>
      </text>
    </comment>
    <comment ref="AO10" authorId="2" shapeId="0" xr:uid="{00000000-0006-0000-0000-000012000000}">
      <text>
        <r>
          <rPr>
            <sz val="9"/>
            <color indexed="81"/>
            <rFont val="Tahoma"/>
            <family val="2"/>
          </rPr>
          <t>Es la contribución parafiscal a pagar por la Nación, los departamentos, intendencias, comisarías, el Distrito Especial de Bogotá y los municipios empleadores, a favor de las escuelas industriales e institutos técnicos.</t>
        </r>
      </text>
    </comment>
    <comment ref="AP10" authorId="2" shapeId="0" xr:uid="{00000000-0006-0000-0000-000013000000}">
      <text>
        <r>
          <rPr>
            <sz val="9"/>
            <color indexed="81"/>
            <rFont val="Tahoma"/>
            <family val="2"/>
          </rPr>
          <t xml:space="preserve">Es el aporte a pagar por los empleados públicos y, según lo contratado,  los trabajadores oficiales de determinados niveles o condiciones salariales a la 
Caja Promotora de Vivienda Militar y de Policía.
</t>
        </r>
      </text>
    </comment>
    <comment ref="D11" authorId="2" shapeId="0" xr:uid="{00000000-0006-0000-0000-000014000000}">
      <text>
        <r>
          <rPr>
            <sz val="9"/>
            <color indexed="81"/>
            <rFont val="Tahoma"/>
            <family val="2"/>
          </rPr>
          <t>Corresponde a la parte del salario que se mantiene fija y se paga periódicamente, de acuerdo con las funciones, responsabilidades y requisitos.</t>
        </r>
        <r>
          <rPr>
            <b/>
            <sz val="9"/>
            <color indexed="81"/>
            <rFont val="Tahoma"/>
            <family val="2"/>
          </rPr>
          <t xml:space="preserve">
</t>
        </r>
        <r>
          <rPr>
            <b/>
            <sz val="9"/>
            <color indexed="81"/>
            <rFont val="Tahoma"/>
            <family val="2"/>
          </rPr>
          <t xml:space="preserve">
</t>
        </r>
        <r>
          <rPr>
            <sz val="9"/>
            <color indexed="81"/>
            <rFont val="Tahoma"/>
            <family val="2"/>
          </rPr>
          <t xml:space="preserve">EL SUELDO BÁSICO SE PAGA SIN TENER EN CUENTA ADICIONALES DE HORAS EXTRAS, PRIMAS Y OTROS FACTORES EVENTUALES O FIJOS QUE AUMENTEN EL INGRESO DEL EMPLEADO.
</t>
        </r>
      </text>
    </comment>
    <comment ref="F11" authorId="2" shapeId="0" xr:uid="{00000000-0006-0000-0000-000015000000}">
      <text>
        <r>
          <rPr>
            <sz val="9"/>
            <color rgb="FF000000"/>
            <rFont val="Tahoma"/>
            <family val="2"/>
          </rPr>
          <t xml:space="preserve">Asignación complementaria del sueldo, que se reconoce excepcional a empleados de alto nivel jerárquico de acuerdo con la importancia de la representación que ostentan. </t>
        </r>
        <r>
          <rPr>
            <b/>
            <sz val="9"/>
            <color rgb="FF000000"/>
            <rFont val="Tahoma"/>
            <family val="2"/>
          </rPr>
          <t xml:space="preserve">
</t>
        </r>
      </text>
    </comment>
    <comment ref="G11" authorId="2" shapeId="0" xr:uid="{00000000-0006-0000-0000-000016000000}">
      <text>
        <r>
          <rPr>
            <sz val="9"/>
            <color rgb="FF000000"/>
            <rFont val="Tahoma"/>
            <family val="2"/>
          </rPr>
          <t xml:space="preserve">Reconocimiento económico a servidores públicos que desempeñen cargos altamente calificados cuyas funciones demanden la aplicación de conocimientos técnicos o científicos.
</t>
        </r>
      </text>
    </comment>
    <comment ref="H11" authorId="2" shapeId="0" xr:uid="{00000000-0006-0000-0000-000017000000}">
      <text>
        <r>
          <rPr>
            <sz val="9"/>
            <color indexed="81"/>
            <rFont val="Tahoma"/>
            <family val="2"/>
          </rPr>
          <t xml:space="preserve">Corresponde al pago habitual y periódico de una suma de dinero, fijada por Decreto Nacional,  destinada a la provisión de alimento de los empleados públicos, y  de los trabajadores oficiales de determinados niveles salariales .
</t>
        </r>
      </text>
    </comment>
    <comment ref="I11" authorId="2" shapeId="0" xr:uid="{00000000-0006-0000-0000-000018000000}">
      <text>
        <r>
          <rPr>
            <sz val="9"/>
            <color indexed="81"/>
            <rFont val="Tahoma"/>
            <family val="2"/>
          </rPr>
          <t xml:space="preserve">Comprende el pago que se les hace a los servidores públicos que devenguen un sueldo mensual básico de hasta dos (2) veces el salario mínimo legal vigente 
</t>
        </r>
      </text>
    </comment>
    <comment ref="J11" authorId="2" shapeId="0" xr:uid="{00000000-0006-0000-0000-000019000000}">
      <text>
        <r>
          <rPr>
            <sz val="9"/>
            <color indexed="81"/>
            <rFont val="Tahoma"/>
            <family val="2"/>
          </rPr>
          <t xml:space="preserve">Corresponde al pago equivalente a 15 días de remuneración que se le reconoce al servidor público por cada año laborado, o proporcionalmente si el funcionario laboró como mínimo por seis meses en la entidad.
</t>
        </r>
      </text>
    </comment>
    <comment ref="K11" authorId="2" shapeId="0" xr:uid="{00000000-0006-0000-0000-00001A000000}">
      <text>
        <r>
          <rPr>
            <sz val="9"/>
            <color indexed="81"/>
            <rFont val="Tahoma"/>
            <family val="2"/>
          </rPr>
          <t xml:space="preserve">Reconocimiento que se hace al empleado cada vez que cumpla un año continúo de labor en una misma entidad y que se paga en un plazo de veinte días después del cumplimiento de los requisitos para recibir la bonificación.
</t>
        </r>
      </text>
    </comment>
    <comment ref="L11" authorId="2" shapeId="0" xr:uid="{00000000-0006-0000-0000-00001B000000}">
      <text>
        <r>
          <rPr>
            <sz val="9"/>
            <color indexed="81"/>
            <rFont val="Tahoma"/>
            <family val="2"/>
          </rPr>
          <t>Corresponde a la remuneración al trabajo suplementario o realizado en horas adicionales a la jornada ordinaria establecida</t>
        </r>
      </text>
    </comment>
    <comment ref="M11" authorId="2" shapeId="0" xr:uid="{00000000-0006-0000-0000-00001C000000}">
      <text>
        <r>
          <rPr>
            <sz val="9"/>
            <color indexed="81"/>
            <rFont val="Tahoma"/>
            <family val="2"/>
          </rPr>
          <t>Reconocimiento que otorga la ley a los empleados públicos y los trabajadores oficiales por haber servido durante todo el año civil.</t>
        </r>
      </text>
    </comment>
    <comment ref="N11" authorId="2" shapeId="0" xr:uid="{00000000-0006-0000-0000-00001D000000}">
      <text>
        <r>
          <rPr>
            <sz val="9"/>
            <color indexed="81"/>
            <rFont val="Tahoma"/>
            <family val="2"/>
          </rPr>
          <t>Reconocimiento que otorga la ley a los empleados públicos y los trabajadores oficiales, con el fin de brindarles mayores recursos económicos para gozar del periodo de vacaciones</t>
        </r>
      </text>
    </comment>
    <comment ref="W11" authorId="2" shapeId="0" xr:uid="{00000000-0006-0000-0000-00001E000000}">
      <text>
        <r>
          <rPr>
            <sz val="9"/>
            <color indexed="81"/>
            <rFont val="Tahoma"/>
            <family val="2"/>
          </rPr>
          <t>Reconocimiento en tiempo libre y en dinero al que tiene derecho todo empleado público o trabajador oficial por haberle servido a la administración pública durante un año.</t>
        </r>
      </text>
    </comment>
    <comment ref="X11" authorId="2" shapeId="0" xr:uid="{00000000-0006-0000-0000-00001F000000}">
      <text>
        <r>
          <rPr>
            <sz val="9"/>
            <color indexed="81"/>
            <rFont val="Tahoma"/>
            <family val="2"/>
          </rPr>
          <t>Corresponde a la compensación en dinero a la que tiene derecho el empleado público o trabajador oficial por vacaciones causadas, pero no disfrutadas.</t>
        </r>
      </text>
    </comment>
    <comment ref="Y11" authorId="2" shapeId="0" xr:uid="{00000000-0006-0000-0000-000020000000}">
      <text>
        <r>
          <rPr>
            <sz val="9"/>
            <color indexed="81"/>
            <rFont val="Tahoma"/>
            <family val="2"/>
          </rPr>
          <t>Corresponde al pago que se les hace a los empleados públicos por cada período de vacaciones.</t>
        </r>
      </text>
    </comment>
    <comment ref="D12" authorId="2" shapeId="0" xr:uid="{00000000-0006-0000-0000-000021000000}">
      <text>
        <r>
          <rPr>
            <sz val="9"/>
            <color rgb="FF000000"/>
            <rFont val="Tahoma"/>
            <family val="2"/>
          </rPr>
          <t xml:space="preserve">El sueldo básico mensual debe tener en cuenta el número de cargos por cada grado
</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s>
  <commentList>
    <comment ref="A4" authorId="0" shapeId="0" xr:uid="{00000000-0006-0000-0100-000001000000}">
      <text>
        <r>
          <rPr>
            <sz val="9"/>
            <color rgb="FF000000"/>
            <rFont val="Tahoma"/>
            <family val="2"/>
          </rPr>
          <t xml:space="preserve">Haga uso de la lista desplegable para seleccionar la sección respectiva.
</t>
        </r>
        <r>
          <rPr>
            <sz val="9"/>
            <color rgb="FF000000"/>
            <rFont val="Tahoma"/>
            <family val="2"/>
          </rPr>
          <t xml:space="preserve">
</t>
        </r>
        <r>
          <rPr>
            <sz val="9"/>
            <color rgb="FF000000"/>
            <rFont val="Tahoma"/>
            <family val="2"/>
          </rPr>
          <t xml:space="preserve">En caso de que la unidad ejecutora sea nueva y no aparezca en la lista, por favor enviar un correo a </t>
        </r>
        <r>
          <rPr>
            <u/>
            <sz val="9"/>
            <color rgb="FF000000"/>
            <rFont val="Tahoma"/>
            <family val="2"/>
          </rPr>
          <t>proyecto_presupuesto@minhacienda.gov.co</t>
        </r>
        <r>
          <rPr>
            <sz val="9"/>
            <color rgb="FF000000"/>
            <rFont val="Tahoma"/>
            <family val="2"/>
          </rPr>
          <t xml:space="preserve"> dando a conocer el caso específico para remitir un nuevo formulario. </t>
        </r>
      </text>
    </comment>
    <comment ref="A5" authorId="1" shapeId="0" xr:uid="{00000000-0006-0000-0100-000002000000}">
      <text>
        <r>
          <rPr>
            <sz val="9"/>
            <color rgb="FF000000"/>
            <rFont val="Tahoma"/>
            <family val="2"/>
          </rPr>
          <t>El nombre de la unidad ejecutora se desplegará automáticamente después de seleccionar la sección.</t>
        </r>
      </text>
    </comment>
    <comment ref="D9" authorId="2" shapeId="0" xr:uid="{00000000-0006-0000-0100-000003000000}">
      <text>
        <r>
          <rPr>
            <sz val="9"/>
            <color rgb="FF000000"/>
            <rFont val="Tahoma"/>
            <family val="2"/>
          </rPr>
          <t xml:space="preserve">Comprende las remuneraciones pagadas en efectivo o en especie a los empleados vinculados laboralmente con el Estado, como contraprestación por los servicios prestados.
</t>
        </r>
        <r>
          <rPr>
            <sz val="9"/>
            <color rgb="FF000000"/>
            <rFont val="Tahoma"/>
            <family val="2"/>
          </rPr>
          <t xml:space="preserve">
</t>
        </r>
        <r>
          <rPr>
            <sz val="9"/>
            <color rgb="FF000000"/>
            <rFont val="Tahoma"/>
            <family val="2"/>
          </rPr>
          <t xml:space="preserve">SE COMPONE DE UN SUELDO BÁSICO Y POR LOS DEMÁS PAGOS QUE TIENEN COMO FINALIDAD REMUNERAR EL TRABAJO DEL EMPLEADO. 
</t>
        </r>
      </text>
    </comment>
    <comment ref="W9" authorId="2" shapeId="0" xr:uid="{00000000-0006-0000-0100-000004000000}">
      <text>
        <r>
          <rPr>
            <sz val="9"/>
            <color indexed="81"/>
            <rFont val="Tahoma"/>
            <family val="2"/>
          </rPr>
          <t xml:space="preserve">Corresponde a los gastos del personal vinculado laboralmente con el Estado que la ley  </t>
        </r>
        <r>
          <rPr>
            <b/>
            <sz val="9"/>
            <color indexed="81"/>
            <rFont val="Tahoma"/>
            <family val="2"/>
          </rPr>
          <t>NO</t>
        </r>
        <r>
          <rPr>
            <sz val="9"/>
            <color indexed="81"/>
            <rFont val="Tahoma"/>
            <family val="2"/>
          </rPr>
          <t xml:space="preserve"> </t>
        </r>
        <r>
          <rPr>
            <b/>
            <sz val="9"/>
            <color indexed="81"/>
            <rFont val="Tahoma"/>
            <family val="2"/>
          </rPr>
          <t>RECONOCE</t>
        </r>
        <r>
          <rPr>
            <sz val="9"/>
            <color indexed="81"/>
            <rFont val="Tahoma"/>
            <family val="2"/>
          </rPr>
          <t xml:space="preserve"> como constitutivos de factor salarial. 
Incluye los beneficios que se reconocen a favor de los servidores públicos que solamente constituyen factor, para efectos de determinar el ingreso base de cotización (IBC) del Sistema General de Pensiones, y para la cotización al Sistema General de Seguridad Social en Salud.
</t>
        </r>
      </text>
    </comment>
    <comment ref="AG9" authorId="2" shapeId="0" xr:uid="{00000000-0006-0000-0100-000005000000}">
      <text>
        <r>
          <rPr>
            <sz val="9"/>
            <color indexed="81"/>
            <rFont val="Tahoma"/>
            <family val="2"/>
          </rPr>
          <t>Corresponde a las contribuciones legales que debe hacer una entidad como empleadora, a entidades del sector privado y público.</t>
        </r>
      </text>
    </comment>
    <comment ref="AR9" authorId="2" shapeId="0" xr:uid="{00000000-0006-0000-0100-000006000000}">
      <text>
        <r>
          <rPr>
            <sz val="9"/>
            <color indexed="81"/>
            <rFont val="Tahoma"/>
            <family val="2"/>
          </rPr>
          <t>Comprende las transferencias corrientes que los órganos del PGN hacen directamente a sus empleados para cubrir necesidades derivadas de riesgos sociales. 
INCLUYE  EL RECONOCIMIENTO DE SALARIOS DURANTE</t>
        </r>
        <r>
          <rPr>
            <b/>
            <sz val="9"/>
            <color indexed="81"/>
            <rFont val="Tahoma"/>
            <family val="2"/>
          </rPr>
          <t xml:space="preserve"> PERIODOS DE AUSENCIA DEL TRABAJO DEBIDO A INCAPACIDAD MÉDICA, ACCIDENTES Y LICENCIAS DE MATERNIDAD Y PATERNIDAD </t>
        </r>
        <r>
          <rPr>
            <sz val="9"/>
            <color indexed="81"/>
            <rFont val="Tahoma"/>
            <family val="2"/>
          </rPr>
          <t xml:space="preserve">TENIENDO EN CUENTA QUE LA NATURALEZA ECONÓMICA DE ESTOS GASTOS CONSTITUYEN LA ENTREGA DE RECURSOS POR PARTE DE UNA UNIDAD DE GOBIERNO A SUS EMPLEADOS SIN RECIBIR DE ESTOS NINGUNA CONTRAPRESTACIÓN DE SERVICIOS, SINO CON EL FIN DE CUBRIR UNA NECESIDAD DERIVADA DE UN RIESGO SOCIAL.
</t>
        </r>
      </text>
    </comment>
    <comment ref="D10" authorId="2" shapeId="0" xr:uid="{00000000-0006-0000-0100-000007000000}">
      <text>
        <r>
          <rPr>
            <sz val="9"/>
            <color indexed="81"/>
            <rFont val="Tahoma"/>
            <family val="2"/>
          </rPr>
          <t>Corresponde a los componentes del salario que son comunes   a todo el personal vinculado laboralmente con el Estado (empleados públicos y trabajadores oficiales), de conformidad con lo señalado en el Decreto Ley 1042 de 1978</t>
        </r>
      </text>
    </comment>
    <comment ref="Q10" authorId="2" shapeId="0" xr:uid="{00000000-0006-0000-0100-000008000000}">
      <text>
        <r>
          <rPr>
            <sz val="9"/>
            <color indexed="81"/>
            <rFont val="Tahoma"/>
            <family val="2"/>
          </rPr>
          <t xml:space="preserve">Corresponde a los componentes del salario de los sistemas especiales de remuneración, legalmente aprobados, y que se rigen por disposiciones particulares para determinados regímenes laborales.
SE CARACTERIZAN POR NO SER COMUNES A TODOS LOS EMPLEADOS
</t>
        </r>
      </text>
    </comment>
    <comment ref="W10" authorId="2" shapeId="0" xr:uid="{00000000-0006-0000-0100-000009000000}">
      <text>
        <r>
          <rPr>
            <sz val="9"/>
            <color rgb="FF000000"/>
            <rFont val="Tahoma"/>
            <family val="2"/>
          </rPr>
          <t xml:space="preserve">Comprenden  las prestaciones sociales que la ley reconoce a los servidores públicos con el fin de cubrir riesgos o necesidades del trabajador en relación o con motivo de su trabajo.
</t>
        </r>
        <r>
          <rPr>
            <sz val="9"/>
            <color rgb="FF000000"/>
            <rFont val="Tahoma"/>
            <family val="2"/>
          </rPr>
          <t xml:space="preserve">
</t>
        </r>
        <r>
          <rPr>
            <sz val="9"/>
            <color rgb="FF000000"/>
            <rFont val="Tahoma"/>
            <family val="2"/>
          </rPr>
          <t xml:space="preserve">ESTAS PRESTACIONES </t>
        </r>
        <r>
          <rPr>
            <b/>
            <sz val="9"/>
            <color rgb="FF000000"/>
            <rFont val="Tahoma"/>
            <family val="2"/>
          </rPr>
          <t xml:space="preserve">NO </t>
        </r>
        <r>
          <rPr>
            <sz val="9"/>
            <color rgb="FF000000"/>
            <rFont val="Tahoma"/>
            <family val="2"/>
          </rPr>
          <t>RETRIBUYEN DIRECTAMENTE LOS SERVICIOS PRESTADOS POR LOS TRABAJADORES</t>
        </r>
      </text>
    </comment>
    <comment ref="AA10" authorId="2" shapeId="0" xr:uid="{00000000-0006-0000-0100-00000A000000}">
      <text>
        <r>
          <rPr>
            <sz val="9"/>
            <color indexed="81"/>
            <rFont val="Tahoma"/>
            <family val="2"/>
          </rPr>
          <t xml:space="preserve">Corresponde a las remuneraciones  no constitutivas de factor salarial que reconoce una unidad de gobierno a sus empleados y no se incluyen como "Prestaciones sociales según definición legal"
</t>
        </r>
      </text>
    </comment>
    <comment ref="AG10" authorId="2" shapeId="0" xr:uid="{00000000-0006-0000-0100-00000B000000}">
      <text>
        <r>
          <rPr>
            <sz val="9"/>
            <color indexed="81"/>
            <rFont val="Tahoma"/>
            <family val="2"/>
          </rPr>
          <t xml:space="preserve">Es la contribución social a pagar por los empleadores a los fondos de seguridad social en pensiones del Sistema General de Pensiones de conformidad con lo que establece la  Ley 100 de 1993
</t>
        </r>
      </text>
    </comment>
    <comment ref="AH10" authorId="2" shapeId="0" xr:uid="{00000000-0006-0000-0100-00000C000000}">
      <text>
        <r>
          <rPr>
            <sz val="9"/>
            <color indexed="81"/>
            <rFont val="Tahoma"/>
            <family val="2"/>
          </rPr>
          <t>Es la contribución social a pagar por los empleadores a las Entidades Promotoras en Salud - EPS  del Sistema General de Seguridad Social en Salud, para el cubrimiento de riesgos de salud de sus empleados de conformidad con lo que establece la Ley 100 de 1993</t>
        </r>
      </text>
    </comment>
    <comment ref="AI10" authorId="2" shapeId="0" xr:uid="{00000000-0006-0000-0100-00000D000000}">
      <text>
        <r>
          <rPr>
            <sz val="9"/>
            <color indexed="81"/>
            <rFont val="Tahoma"/>
            <family val="2"/>
          </rPr>
          <t>Es la contribución que el empleador está obligado a pagar en razón de un mes de sueldo o jornal por cada año de servicio de su empleado, proporcionalmente fraccionado a favor de un fondo administrador de cesantías.</t>
        </r>
      </text>
    </comment>
    <comment ref="AK10" authorId="2" shapeId="0" xr:uid="{00000000-0006-0000-0100-00000E000000}">
      <text>
        <r>
          <rPr>
            <sz val="9"/>
            <color indexed="81"/>
            <rFont val="Tahoma"/>
            <family val="2"/>
          </rPr>
          <t>Es la contribución a pagar por los empleadores a una Administradora de Riesgos Laborales - ARL para el cubrimiento de las prestaciones económicas y asistenciales derivadas de un accidente de trabajo o una enfermedad profesional.</t>
        </r>
      </text>
    </comment>
    <comment ref="AL10" authorId="2" shapeId="0" xr:uid="{00000000-0006-0000-0100-00000F000000}">
      <text>
        <r>
          <rPr>
            <sz val="9"/>
            <color indexed="81"/>
            <rFont val="Tahoma"/>
            <family val="2"/>
          </rPr>
          <t>Es la contribución parafiscal a pagar por todos los patronos y entidades públicas y privadas  al Instituto Colombiano de Bienestar Familiar (ICBF)</t>
        </r>
      </text>
    </comment>
    <comment ref="AM10" authorId="2" shapeId="0" xr:uid="{00000000-0006-0000-0100-000010000000}">
      <text>
        <r>
          <rPr>
            <sz val="9"/>
            <color indexed="81"/>
            <rFont val="Tahoma"/>
            <family val="2"/>
          </rPr>
          <t xml:space="preserve">Es la contribución parafiscal a pagar por la Nación a favor del Servicio Nacional de Aprendizaje (SENA).
</t>
        </r>
      </text>
    </comment>
    <comment ref="AN10" authorId="2" shapeId="0" xr:uid="{00000000-0006-0000-0100-000011000000}">
      <text>
        <r>
          <rPr>
            <sz val="9"/>
            <color indexed="81"/>
            <rFont val="Tahoma"/>
            <family val="2"/>
          </rPr>
          <t>Contribución parafiscal a pagar por la Nación, los departamentos, intendencias, comisarías, el Distrito Especial de Bogotá y los municipios empleadores a la Escuela  Superior de Administración Pública (ESAP).</t>
        </r>
      </text>
    </comment>
    <comment ref="AO10" authorId="2" shapeId="0" xr:uid="{00000000-0006-0000-0100-000012000000}">
      <text>
        <r>
          <rPr>
            <sz val="9"/>
            <color indexed="81"/>
            <rFont val="Tahoma"/>
            <family val="2"/>
          </rPr>
          <t>Es la contribución parafiscal a pagar por la Nación, los departamentos, intendencias, comisarías, el Distrito Especial de Bogotá y los municipios empleadores, a favor de las escuelas industriales e institutos técnicos.</t>
        </r>
      </text>
    </comment>
    <comment ref="AP10" authorId="2" shapeId="0" xr:uid="{00000000-0006-0000-0100-000013000000}">
      <text>
        <r>
          <rPr>
            <sz val="9"/>
            <color indexed="81"/>
            <rFont val="Tahoma"/>
            <family val="2"/>
          </rPr>
          <t xml:space="preserve">Es el aporte a pagar por los empleados públicos y, según lo contratado,  los trabajadores oficiales de determinados niveles o condiciones salariales a la 
Caja Promotora de Vivienda Militar y de Policía.
</t>
        </r>
      </text>
    </comment>
    <comment ref="D11" authorId="2" shapeId="0" xr:uid="{00000000-0006-0000-0100-000014000000}">
      <text>
        <r>
          <rPr>
            <sz val="9"/>
            <color indexed="81"/>
            <rFont val="Tahoma"/>
            <family val="2"/>
          </rPr>
          <t>Corresponde a la parte del salario que se mantiene fija y se paga periódicamente, de acuerdo con las funciones, responsabilidades y requisitos.</t>
        </r>
        <r>
          <rPr>
            <b/>
            <sz val="9"/>
            <color indexed="81"/>
            <rFont val="Tahoma"/>
            <family val="2"/>
          </rPr>
          <t xml:space="preserve">
</t>
        </r>
        <r>
          <rPr>
            <b/>
            <sz val="9"/>
            <color indexed="81"/>
            <rFont val="Tahoma"/>
            <family val="2"/>
          </rPr>
          <t xml:space="preserve">
</t>
        </r>
        <r>
          <rPr>
            <sz val="9"/>
            <color indexed="81"/>
            <rFont val="Tahoma"/>
            <family val="2"/>
          </rPr>
          <t xml:space="preserve">EL SUELDO BÁSICO SE PAGA SIN TENER EN CUENTA ADICIONALES DE HORAS EXTRAS, PRIMAS Y OTROS FACTORES EVENTUALES O FIJOS QUE AUMENTEN EL INGRESO DEL EMPLEADO.
</t>
        </r>
      </text>
    </comment>
    <comment ref="F11" authorId="2" shapeId="0" xr:uid="{00000000-0006-0000-0100-000015000000}">
      <text>
        <r>
          <rPr>
            <sz val="9"/>
            <color rgb="FF000000"/>
            <rFont val="Tahoma"/>
            <family val="2"/>
          </rPr>
          <t xml:space="preserve">Asignación complementaria del sueldo, que se reconoce excepcional a empleados de alto nivel jerárquico de acuerdo con la importancia de la representación que ostentan. </t>
        </r>
        <r>
          <rPr>
            <b/>
            <sz val="9"/>
            <color rgb="FF000000"/>
            <rFont val="Tahoma"/>
            <family val="2"/>
          </rPr>
          <t xml:space="preserve">
</t>
        </r>
      </text>
    </comment>
    <comment ref="G11" authorId="2" shapeId="0" xr:uid="{00000000-0006-0000-0100-000016000000}">
      <text>
        <r>
          <rPr>
            <sz val="9"/>
            <color rgb="FF000000"/>
            <rFont val="Tahoma"/>
            <family val="2"/>
          </rPr>
          <t xml:space="preserve">Reconocimiento económico a servidores públicos que desempeñen cargos altamente calificados cuyas funciones demanden la aplicación de conocimientos técnicos o científicos.
</t>
        </r>
      </text>
    </comment>
    <comment ref="H11" authorId="2" shapeId="0" xr:uid="{00000000-0006-0000-0100-000017000000}">
      <text>
        <r>
          <rPr>
            <sz val="9"/>
            <color indexed="81"/>
            <rFont val="Tahoma"/>
            <family val="2"/>
          </rPr>
          <t xml:space="preserve">Corresponde al pago habitual y periódico de una suma de dinero, fijada por Decreto Nacional,  destinada a la provisión de alimento de los empleados públicos, y  de los trabajadores oficiales de determinados niveles salariales .
</t>
        </r>
      </text>
    </comment>
    <comment ref="I11" authorId="2" shapeId="0" xr:uid="{00000000-0006-0000-0100-000018000000}">
      <text>
        <r>
          <rPr>
            <sz val="9"/>
            <color indexed="81"/>
            <rFont val="Tahoma"/>
            <family val="2"/>
          </rPr>
          <t xml:space="preserve">Comprende el pago que se les hace a los servidores públicos que devenguen un sueldo mensual básico de hasta dos (2) veces el salario mínimo legal vigente 
</t>
        </r>
      </text>
    </comment>
    <comment ref="J11" authorId="2" shapeId="0" xr:uid="{00000000-0006-0000-0100-000019000000}">
      <text>
        <r>
          <rPr>
            <sz val="9"/>
            <color indexed="81"/>
            <rFont val="Tahoma"/>
            <family val="2"/>
          </rPr>
          <t xml:space="preserve">Corresponde al pago equivalente a 15 días de remuneración que se le reconoce al servidor público por cada año laborado, o proporcionalmente si el funcionario laboró como mínimo por seis meses en la entidad.
</t>
        </r>
      </text>
    </comment>
    <comment ref="K11" authorId="2" shapeId="0" xr:uid="{00000000-0006-0000-0100-00001A000000}">
      <text>
        <r>
          <rPr>
            <sz val="9"/>
            <color indexed="81"/>
            <rFont val="Tahoma"/>
            <family val="2"/>
          </rPr>
          <t xml:space="preserve">Reconocimiento que se hace al empleado cada vez que cumpla un año continúo de labor en una misma entidad y que se paga en un plazo de veinte días después del cumplimiento de los requisitos para recibir la bonificación.
</t>
        </r>
      </text>
    </comment>
    <comment ref="L11" authorId="2" shapeId="0" xr:uid="{00000000-0006-0000-0100-00001B000000}">
      <text>
        <r>
          <rPr>
            <sz val="9"/>
            <color indexed="81"/>
            <rFont val="Tahoma"/>
            <family val="2"/>
          </rPr>
          <t>Corresponde a la remuneración al trabajo suplementario o realizado en horas adicionales a la jornada ordinaria establecida</t>
        </r>
      </text>
    </comment>
    <comment ref="M11" authorId="2" shapeId="0" xr:uid="{00000000-0006-0000-0100-00001C000000}">
      <text>
        <r>
          <rPr>
            <sz val="9"/>
            <color indexed="81"/>
            <rFont val="Tahoma"/>
            <family val="2"/>
          </rPr>
          <t>Reconocimiento que otorga la ley a los empleados públicos y los trabajadores oficiales por haber servido durante todo el año civil.</t>
        </r>
      </text>
    </comment>
    <comment ref="N11" authorId="2" shapeId="0" xr:uid="{00000000-0006-0000-0100-00001D000000}">
      <text>
        <r>
          <rPr>
            <sz val="9"/>
            <color indexed="81"/>
            <rFont val="Tahoma"/>
            <family val="2"/>
          </rPr>
          <t>Reconocimiento que otorga la ley a los empleados públicos y los trabajadores oficiales, con el fin de brindarles mayores recursos económicos para gozar del periodo de vacaciones</t>
        </r>
      </text>
    </comment>
    <comment ref="W11" authorId="2" shapeId="0" xr:uid="{00000000-0006-0000-0100-00001E000000}">
      <text>
        <r>
          <rPr>
            <sz val="9"/>
            <color indexed="81"/>
            <rFont val="Tahoma"/>
            <family val="2"/>
          </rPr>
          <t>Reconocimiento en tiempo libre y en dinero al que tiene derecho todo empleado público o trabajador oficial por haberle servido a la administración pública durante un año.</t>
        </r>
      </text>
    </comment>
    <comment ref="X11" authorId="2" shapeId="0" xr:uid="{00000000-0006-0000-0100-00001F000000}">
      <text>
        <r>
          <rPr>
            <sz val="9"/>
            <color indexed="81"/>
            <rFont val="Tahoma"/>
            <family val="2"/>
          </rPr>
          <t>Corresponde a la compensación en dinero a la que tiene derecho el empleado público o trabajador oficial por vacaciones causadas, pero no disfrutadas.</t>
        </r>
      </text>
    </comment>
    <comment ref="Y11" authorId="2" shapeId="0" xr:uid="{00000000-0006-0000-0100-000020000000}">
      <text>
        <r>
          <rPr>
            <sz val="9"/>
            <color indexed="81"/>
            <rFont val="Tahoma"/>
            <family val="2"/>
          </rPr>
          <t>Corresponde al pago que se les hace a los empleados públicos por cada período de vacaciones.</t>
        </r>
      </text>
    </comment>
    <comment ref="D12" authorId="2" shapeId="0" xr:uid="{00000000-0006-0000-0100-000021000000}">
      <text>
        <r>
          <rPr>
            <sz val="9"/>
            <color rgb="FF000000"/>
            <rFont val="Tahoma"/>
            <family val="2"/>
          </rPr>
          <t xml:space="preserve">El sueldo básico mensual debe tener en cuenta el número de cargos por cada grado
</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s>
  <commentList>
    <comment ref="A4" authorId="0" shapeId="0" xr:uid="{00000000-0006-0000-0200-000001000000}">
      <text>
        <r>
          <rPr>
            <sz val="9"/>
            <color rgb="FF000000"/>
            <rFont val="Tahoma"/>
            <family val="2"/>
          </rPr>
          <t xml:space="preserve">Haga uso de la lista desplegable para seleccionar la sección respectiva.
</t>
        </r>
        <r>
          <rPr>
            <sz val="9"/>
            <color rgb="FF000000"/>
            <rFont val="Tahoma"/>
            <family val="2"/>
          </rPr>
          <t xml:space="preserve">
</t>
        </r>
        <r>
          <rPr>
            <sz val="9"/>
            <color rgb="FF000000"/>
            <rFont val="Tahoma"/>
            <family val="2"/>
          </rPr>
          <t xml:space="preserve">En caso de que la unidad ejecutora sea nueva y no aparezca en la lista, por favor enviar un correo a </t>
        </r>
        <r>
          <rPr>
            <u/>
            <sz val="9"/>
            <color rgb="FF000000"/>
            <rFont val="Tahoma"/>
            <family val="2"/>
          </rPr>
          <t>proyecto_presupuesto@minhacienda.gov.co</t>
        </r>
        <r>
          <rPr>
            <sz val="9"/>
            <color rgb="FF000000"/>
            <rFont val="Tahoma"/>
            <family val="2"/>
          </rPr>
          <t xml:space="preserve"> dando a conocer el caso específico para remitir un nuevo formulario. </t>
        </r>
      </text>
    </comment>
    <comment ref="A5" authorId="1" shapeId="0" xr:uid="{00000000-0006-0000-0200-000002000000}">
      <text>
        <r>
          <rPr>
            <sz val="9"/>
            <color rgb="FF000000"/>
            <rFont val="Tahoma"/>
            <family val="2"/>
          </rPr>
          <t>El nombre de la unidad ejecutora se desplegará automáticamente después de seleccionar la sección.</t>
        </r>
      </text>
    </comment>
    <comment ref="D9" authorId="2" shapeId="0" xr:uid="{00000000-0006-0000-0200-000003000000}">
      <text>
        <r>
          <rPr>
            <sz val="9"/>
            <color rgb="FF000000"/>
            <rFont val="Tahoma"/>
            <family val="2"/>
          </rPr>
          <t xml:space="preserve">Comprende las remuneraciones pagadas en efectivo o en especie a los empleados vinculados laboralmente con el Estado, como contraprestación por los servicios prestados.
</t>
        </r>
        <r>
          <rPr>
            <sz val="9"/>
            <color rgb="FF000000"/>
            <rFont val="Tahoma"/>
            <family val="2"/>
          </rPr>
          <t xml:space="preserve">
</t>
        </r>
        <r>
          <rPr>
            <sz val="9"/>
            <color rgb="FF000000"/>
            <rFont val="Tahoma"/>
            <family val="2"/>
          </rPr>
          <t xml:space="preserve">SE COMPONE DE UN SUELDO BÁSICO Y POR LOS DEMÁS PAGOS QUE TIENEN COMO FINALIDAD REMUNERAR EL TRABAJO DEL EMPLEADO. 
</t>
        </r>
      </text>
    </comment>
    <comment ref="W9" authorId="2" shapeId="0" xr:uid="{00000000-0006-0000-0200-000004000000}">
      <text>
        <r>
          <rPr>
            <sz val="9"/>
            <color indexed="81"/>
            <rFont val="Tahoma"/>
            <family val="2"/>
          </rPr>
          <t xml:space="preserve">Corresponde a los gastos del personal vinculado laboralmente con el Estado que la ley  </t>
        </r>
        <r>
          <rPr>
            <b/>
            <sz val="9"/>
            <color indexed="81"/>
            <rFont val="Tahoma"/>
            <family val="2"/>
          </rPr>
          <t>NO</t>
        </r>
        <r>
          <rPr>
            <sz val="9"/>
            <color indexed="81"/>
            <rFont val="Tahoma"/>
            <family val="2"/>
          </rPr>
          <t xml:space="preserve"> </t>
        </r>
        <r>
          <rPr>
            <b/>
            <sz val="9"/>
            <color indexed="81"/>
            <rFont val="Tahoma"/>
            <family val="2"/>
          </rPr>
          <t>RECONOCE</t>
        </r>
        <r>
          <rPr>
            <sz val="9"/>
            <color indexed="81"/>
            <rFont val="Tahoma"/>
            <family val="2"/>
          </rPr>
          <t xml:space="preserve"> como constitutivos de factor salarial. 
Incluye los beneficios que se reconocen a favor de los servidores públicos que solamente constituyen factor, para efectos de determinar el ingreso base de cotización (IBC) del Sistema General de Pensiones, y para la cotización al Sistema General de Seguridad Social en Salud.
</t>
        </r>
      </text>
    </comment>
    <comment ref="AG9" authorId="2" shapeId="0" xr:uid="{00000000-0006-0000-0200-000005000000}">
      <text>
        <r>
          <rPr>
            <sz val="9"/>
            <color indexed="81"/>
            <rFont val="Tahoma"/>
            <family val="2"/>
          </rPr>
          <t>Corresponde a las contribuciones legales que debe hacer una entidad como empleadora, a entidades del sector privado y público.</t>
        </r>
      </text>
    </comment>
    <comment ref="AR9" authorId="2" shapeId="0" xr:uid="{00000000-0006-0000-0200-000006000000}">
      <text>
        <r>
          <rPr>
            <sz val="9"/>
            <color indexed="81"/>
            <rFont val="Tahoma"/>
            <family val="2"/>
          </rPr>
          <t>Comprende las transferencias corrientes que los órganos del PGN hacen directamente a sus empleados para cubrir necesidades derivadas de riesgos sociales. 
INCLUYE  EL RECONOCIMIENTO DE SALARIOS DURANTE</t>
        </r>
        <r>
          <rPr>
            <b/>
            <sz val="9"/>
            <color indexed="81"/>
            <rFont val="Tahoma"/>
            <family val="2"/>
          </rPr>
          <t xml:space="preserve"> PERIODOS DE AUSENCIA DEL TRABAJO DEBIDO A INCAPACIDAD MÉDICA, ACCIDENTES Y LICENCIAS DE MATERNIDAD Y PATERNIDAD </t>
        </r>
        <r>
          <rPr>
            <sz val="9"/>
            <color indexed="81"/>
            <rFont val="Tahoma"/>
            <family val="2"/>
          </rPr>
          <t xml:space="preserve">TENIENDO EN CUENTA QUE LA NATURALEZA ECONÓMICA DE ESTOS GASTOS CONSTITUYEN LA ENTREGA DE RECURSOS POR PARTE DE UNA UNIDAD DE GOBIERNO A SUS EMPLEADOS SIN RECIBIR DE ESTOS NINGUNA CONTRAPRESTACIÓN DE SERVICIOS, SINO CON EL FIN DE CUBRIR UNA NECESIDAD DERIVADA DE UN RIESGO SOCIAL.
</t>
        </r>
      </text>
    </comment>
    <comment ref="D10" authorId="2" shapeId="0" xr:uid="{00000000-0006-0000-0200-000007000000}">
      <text>
        <r>
          <rPr>
            <sz val="9"/>
            <color indexed="81"/>
            <rFont val="Tahoma"/>
            <family val="2"/>
          </rPr>
          <t>Corresponde a los componentes del salario que son comunes   a todo el personal vinculado laboralmente con el Estado (empleados públicos y trabajadores oficiales), de conformidad con lo señalado en el Decreto Ley 1042 de 1978</t>
        </r>
      </text>
    </comment>
    <comment ref="Q10" authorId="2" shapeId="0" xr:uid="{00000000-0006-0000-0200-000008000000}">
      <text>
        <r>
          <rPr>
            <sz val="9"/>
            <color indexed="81"/>
            <rFont val="Tahoma"/>
            <family val="2"/>
          </rPr>
          <t xml:space="preserve">Corresponde a los componentes del salario de los sistemas especiales de remuneración, legalmente aprobados, y que se rigen por disposiciones particulares para determinados regímenes laborales.
SE CARACTERIZAN POR NO SER COMUNES A TODOS LOS EMPLEADOS
</t>
        </r>
      </text>
    </comment>
    <comment ref="W10" authorId="2" shapeId="0" xr:uid="{00000000-0006-0000-0200-000009000000}">
      <text>
        <r>
          <rPr>
            <sz val="9"/>
            <color rgb="FF000000"/>
            <rFont val="Tahoma"/>
            <family val="2"/>
          </rPr>
          <t xml:space="preserve">Comprenden  las prestaciones sociales que la ley reconoce a los servidores públicos con el fin de cubrir riesgos o necesidades del trabajador en relación o con motivo de su trabajo.
</t>
        </r>
        <r>
          <rPr>
            <sz val="9"/>
            <color rgb="FF000000"/>
            <rFont val="Tahoma"/>
            <family val="2"/>
          </rPr>
          <t xml:space="preserve">
</t>
        </r>
        <r>
          <rPr>
            <sz val="9"/>
            <color rgb="FF000000"/>
            <rFont val="Tahoma"/>
            <family val="2"/>
          </rPr>
          <t xml:space="preserve">ESTAS PRESTACIONES </t>
        </r>
        <r>
          <rPr>
            <b/>
            <sz val="9"/>
            <color rgb="FF000000"/>
            <rFont val="Tahoma"/>
            <family val="2"/>
          </rPr>
          <t xml:space="preserve">NO </t>
        </r>
        <r>
          <rPr>
            <sz val="9"/>
            <color rgb="FF000000"/>
            <rFont val="Tahoma"/>
            <family val="2"/>
          </rPr>
          <t>RETRIBUYEN DIRECTAMENTE LOS SERVICIOS PRESTADOS POR LOS TRABAJADORES</t>
        </r>
      </text>
    </comment>
    <comment ref="AA10" authorId="2" shapeId="0" xr:uid="{00000000-0006-0000-0200-00000A000000}">
      <text>
        <r>
          <rPr>
            <sz val="9"/>
            <color indexed="81"/>
            <rFont val="Tahoma"/>
            <family val="2"/>
          </rPr>
          <t xml:space="preserve">Corresponde a las remuneraciones  no constitutivas de factor salarial que reconoce una unidad de gobierno a sus empleados y no se incluyen como "Prestaciones sociales según definición legal"
</t>
        </r>
      </text>
    </comment>
    <comment ref="AG10" authorId="2" shapeId="0" xr:uid="{00000000-0006-0000-0200-00000B000000}">
      <text>
        <r>
          <rPr>
            <sz val="9"/>
            <color indexed="81"/>
            <rFont val="Tahoma"/>
            <family val="2"/>
          </rPr>
          <t xml:space="preserve">Es la contribución social a pagar por los empleadores a los fondos de seguridad social en pensiones del Sistema General de Pensiones de conformidad con lo que establece la  Ley 100 de 1993
</t>
        </r>
      </text>
    </comment>
    <comment ref="AH10" authorId="2" shapeId="0" xr:uid="{00000000-0006-0000-0200-00000C000000}">
      <text>
        <r>
          <rPr>
            <sz val="9"/>
            <color indexed="81"/>
            <rFont val="Tahoma"/>
            <family val="2"/>
          </rPr>
          <t>Es la contribución social a pagar por los empleadores a las Entidades Promotoras en Salud - EPS  del Sistema General de Seguridad Social en Salud, para el cubrimiento de riesgos de salud de sus empleados de conformidad con lo que establece la Ley 100 de 1993</t>
        </r>
      </text>
    </comment>
    <comment ref="AI10" authorId="2" shapeId="0" xr:uid="{00000000-0006-0000-0200-00000D000000}">
      <text>
        <r>
          <rPr>
            <sz val="9"/>
            <color indexed="81"/>
            <rFont val="Tahoma"/>
            <family val="2"/>
          </rPr>
          <t>Es la contribución que el empleador está obligado a pagar en razón de un mes de sueldo o jornal por cada año de servicio de su empleado, proporcionalmente fraccionado a favor de un fondo administrador de cesantías.</t>
        </r>
      </text>
    </comment>
    <comment ref="AK10" authorId="2" shapeId="0" xr:uid="{00000000-0006-0000-0200-00000E000000}">
      <text>
        <r>
          <rPr>
            <sz val="9"/>
            <color indexed="81"/>
            <rFont val="Tahoma"/>
            <family val="2"/>
          </rPr>
          <t>Es la contribución a pagar por los empleadores a una Administradora de Riesgos Laborales - ARL para el cubrimiento de las prestaciones económicas y asistenciales derivadas de un accidente de trabajo o una enfermedad profesional.</t>
        </r>
      </text>
    </comment>
    <comment ref="AL10" authorId="2" shapeId="0" xr:uid="{00000000-0006-0000-0200-00000F000000}">
      <text>
        <r>
          <rPr>
            <sz val="9"/>
            <color indexed="81"/>
            <rFont val="Tahoma"/>
            <family val="2"/>
          </rPr>
          <t>Es la contribución parafiscal a pagar por todos los patronos y entidades públicas y privadas  al Instituto Colombiano de Bienestar Familiar (ICBF)</t>
        </r>
      </text>
    </comment>
    <comment ref="AM10" authorId="2" shapeId="0" xr:uid="{00000000-0006-0000-0200-000010000000}">
      <text>
        <r>
          <rPr>
            <sz val="9"/>
            <color indexed="81"/>
            <rFont val="Tahoma"/>
            <family val="2"/>
          </rPr>
          <t xml:space="preserve">Es la contribución parafiscal a pagar por la Nación a favor del Servicio Nacional de Aprendizaje (SENA).
</t>
        </r>
      </text>
    </comment>
    <comment ref="AN10" authorId="2" shapeId="0" xr:uid="{00000000-0006-0000-0200-000011000000}">
      <text>
        <r>
          <rPr>
            <sz val="9"/>
            <color indexed="81"/>
            <rFont val="Tahoma"/>
            <family val="2"/>
          </rPr>
          <t>Contribución parafiscal a pagar por la Nación, los departamentos, intendencias, comisarías, el Distrito Especial de Bogotá y los municipios empleadores a la Escuela  Superior de Administración Pública (ESAP).</t>
        </r>
      </text>
    </comment>
    <comment ref="AO10" authorId="2" shapeId="0" xr:uid="{00000000-0006-0000-0200-000012000000}">
      <text>
        <r>
          <rPr>
            <sz val="9"/>
            <color indexed="81"/>
            <rFont val="Tahoma"/>
            <family val="2"/>
          </rPr>
          <t>Es la contribución parafiscal a pagar por la Nación, los departamentos, intendencias, comisarías, el Distrito Especial de Bogotá y los municipios empleadores, a favor de las escuelas industriales e institutos técnicos.</t>
        </r>
      </text>
    </comment>
    <comment ref="AP10" authorId="2" shapeId="0" xr:uid="{00000000-0006-0000-0200-000013000000}">
      <text>
        <r>
          <rPr>
            <sz val="9"/>
            <color indexed="81"/>
            <rFont val="Tahoma"/>
            <family val="2"/>
          </rPr>
          <t xml:space="preserve">Es el aporte a pagar por los empleados públicos y, según lo contratado,  los trabajadores oficiales de determinados niveles o condiciones salariales a la 
Caja Promotora de Vivienda Militar y de Policía.
</t>
        </r>
      </text>
    </comment>
    <comment ref="D11" authorId="2" shapeId="0" xr:uid="{00000000-0006-0000-0200-000014000000}">
      <text>
        <r>
          <rPr>
            <sz val="9"/>
            <color indexed="81"/>
            <rFont val="Tahoma"/>
            <family val="2"/>
          </rPr>
          <t>Corresponde a la parte del salario que se mantiene fija y se paga periódicamente, de acuerdo con las funciones, responsabilidades y requisitos.</t>
        </r>
        <r>
          <rPr>
            <b/>
            <sz val="9"/>
            <color indexed="81"/>
            <rFont val="Tahoma"/>
            <family val="2"/>
          </rPr>
          <t xml:space="preserve">
</t>
        </r>
        <r>
          <rPr>
            <b/>
            <sz val="9"/>
            <color indexed="81"/>
            <rFont val="Tahoma"/>
            <family val="2"/>
          </rPr>
          <t xml:space="preserve">
</t>
        </r>
        <r>
          <rPr>
            <sz val="9"/>
            <color indexed="81"/>
            <rFont val="Tahoma"/>
            <family val="2"/>
          </rPr>
          <t xml:space="preserve">EL SUELDO BÁSICO SE PAGA SIN TENER EN CUENTA ADICIONALES DE HORAS EXTRAS, PRIMAS Y OTROS FACTORES EVENTUALES O FIJOS QUE AUMENTEN EL INGRESO DEL EMPLEADO.
</t>
        </r>
      </text>
    </comment>
    <comment ref="F11" authorId="2" shapeId="0" xr:uid="{00000000-0006-0000-0200-000015000000}">
      <text>
        <r>
          <rPr>
            <sz val="9"/>
            <color rgb="FF000000"/>
            <rFont val="Tahoma"/>
            <family val="2"/>
          </rPr>
          <t xml:space="preserve">Asignación complementaria del sueldo, que se reconoce excepcional a empleados de alto nivel jerárquico de acuerdo con la importancia de la representación que ostentan. </t>
        </r>
        <r>
          <rPr>
            <b/>
            <sz val="9"/>
            <color rgb="FF000000"/>
            <rFont val="Tahoma"/>
            <family val="2"/>
          </rPr>
          <t xml:space="preserve">
</t>
        </r>
      </text>
    </comment>
    <comment ref="G11" authorId="2" shapeId="0" xr:uid="{00000000-0006-0000-0200-000016000000}">
      <text>
        <r>
          <rPr>
            <sz val="9"/>
            <color rgb="FF000000"/>
            <rFont val="Tahoma"/>
            <family val="2"/>
          </rPr>
          <t xml:space="preserve">Reconocimiento económico a servidores públicos que desempeñen cargos altamente calificados cuyas funciones demanden la aplicación de conocimientos técnicos o científicos.
</t>
        </r>
      </text>
    </comment>
    <comment ref="H11" authorId="2" shapeId="0" xr:uid="{00000000-0006-0000-0200-000017000000}">
      <text>
        <r>
          <rPr>
            <sz val="9"/>
            <color indexed="81"/>
            <rFont val="Tahoma"/>
            <family val="2"/>
          </rPr>
          <t xml:space="preserve">Corresponde al pago habitual y periódico de una suma de dinero, fijada por Decreto Nacional,  destinada a la provisión de alimento de los empleados públicos, y  de los trabajadores oficiales de determinados niveles salariales .
</t>
        </r>
      </text>
    </comment>
    <comment ref="I11" authorId="2" shapeId="0" xr:uid="{00000000-0006-0000-0200-000018000000}">
      <text>
        <r>
          <rPr>
            <sz val="9"/>
            <color indexed="81"/>
            <rFont val="Tahoma"/>
            <family val="2"/>
          </rPr>
          <t xml:space="preserve">Comprende el pago que se les hace a los servidores públicos que devenguen un sueldo mensual básico de hasta dos (2) veces el salario mínimo legal vigente 
</t>
        </r>
      </text>
    </comment>
    <comment ref="J11" authorId="2" shapeId="0" xr:uid="{00000000-0006-0000-0200-000019000000}">
      <text>
        <r>
          <rPr>
            <sz val="9"/>
            <color indexed="81"/>
            <rFont val="Tahoma"/>
            <family val="2"/>
          </rPr>
          <t xml:space="preserve">Corresponde al pago equivalente a 15 días de remuneración que se le reconoce al servidor público por cada año laborado, o proporcionalmente si el funcionario laboró como mínimo por seis meses en la entidad.
</t>
        </r>
      </text>
    </comment>
    <comment ref="K11" authorId="2" shapeId="0" xr:uid="{00000000-0006-0000-0200-00001A000000}">
      <text>
        <r>
          <rPr>
            <sz val="9"/>
            <color indexed="81"/>
            <rFont val="Tahoma"/>
            <family val="2"/>
          </rPr>
          <t xml:space="preserve">Reconocimiento que se hace al empleado cada vez que cumpla un año continúo de labor en una misma entidad y que se paga en un plazo de veinte días después del cumplimiento de los requisitos para recibir la bonificación.
</t>
        </r>
      </text>
    </comment>
    <comment ref="L11" authorId="2" shapeId="0" xr:uid="{00000000-0006-0000-0200-00001B000000}">
      <text>
        <r>
          <rPr>
            <sz val="9"/>
            <color indexed="81"/>
            <rFont val="Tahoma"/>
            <family val="2"/>
          </rPr>
          <t>Corresponde a la remuneración al trabajo suplementario o realizado en horas adicionales a la jornada ordinaria establecida</t>
        </r>
      </text>
    </comment>
    <comment ref="M11" authorId="2" shapeId="0" xr:uid="{00000000-0006-0000-0200-00001C000000}">
      <text>
        <r>
          <rPr>
            <sz val="9"/>
            <color indexed="81"/>
            <rFont val="Tahoma"/>
            <family val="2"/>
          </rPr>
          <t>Reconocimiento que otorga la ley a los empleados públicos y los trabajadores oficiales por haber servido durante todo el año civil.</t>
        </r>
      </text>
    </comment>
    <comment ref="N11" authorId="2" shapeId="0" xr:uid="{00000000-0006-0000-0200-00001D000000}">
      <text>
        <r>
          <rPr>
            <sz val="9"/>
            <color indexed="81"/>
            <rFont val="Tahoma"/>
            <family val="2"/>
          </rPr>
          <t>Reconocimiento que otorga la ley a los empleados públicos y los trabajadores oficiales, con el fin de brindarles mayores recursos económicos para gozar del periodo de vacaciones</t>
        </r>
      </text>
    </comment>
    <comment ref="W11" authorId="2" shapeId="0" xr:uid="{00000000-0006-0000-0200-00001E000000}">
      <text>
        <r>
          <rPr>
            <sz val="9"/>
            <color indexed="81"/>
            <rFont val="Tahoma"/>
            <family val="2"/>
          </rPr>
          <t>Reconocimiento en tiempo libre y en dinero al que tiene derecho todo empleado público o trabajador oficial por haberle servido a la administración pública durante un año.</t>
        </r>
      </text>
    </comment>
    <comment ref="X11" authorId="2" shapeId="0" xr:uid="{00000000-0006-0000-0200-00001F000000}">
      <text>
        <r>
          <rPr>
            <sz val="9"/>
            <color rgb="FF000000"/>
            <rFont val="Tahoma"/>
            <family val="2"/>
          </rPr>
          <t>Corresponde a la compensación en dinero a la que tiene derecho el empleado público o trabajador oficial por vacaciones causadas, pero no disfrutadas.</t>
        </r>
      </text>
    </comment>
    <comment ref="Y11" authorId="2" shapeId="0" xr:uid="{00000000-0006-0000-0200-000020000000}">
      <text>
        <r>
          <rPr>
            <sz val="9"/>
            <color indexed="81"/>
            <rFont val="Tahoma"/>
            <family val="2"/>
          </rPr>
          <t>Corresponde al pago que se les hace a los empleados públicos por cada período de vacaciones.</t>
        </r>
      </text>
    </comment>
    <comment ref="D12" authorId="2" shapeId="0" xr:uid="{00000000-0006-0000-0200-000021000000}">
      <text>
        <r>
          <rPr>
            <sz val="9"/>
            <color rgb="FF000000"/>
            <rFont val="Tahoma"/>
            <family val="2"/>
          </rPr>
          <t xml:space="preserve">El sueldo básico mensual debe tener en cuenta el número de cargos por cada grado
</t>
        </r>
        <r>
          <rPr>
            <sz val="9"/>
            <color rgb="FF000000"/>
            <rFont val="Tahoma"/>
            <family val="2"/>
          </rPr>
          <t xml:space="preserve">
</t>
        </r>
      </text>
    </comment>
  </commentList>
</comments>
</file>

<file path=xl/sharedStrings.xml><?xml version="1.0" encoding="utf-8"?>
<sst xmlns="http://schemas.openxmlformats.org/spreadsheetml/2006/main" count="596" uniqueCount="118">
  <si>
    <t xml:space="preserve">MINISTERIO DE HACIENDA Y CRÉDITO PÚBLICO </t>
  </si>
  <si>
    <t>Dirección General del Presupuesto Público Nacional</t>
  </si>
  <si>
    <t>Formulario 4. Anteproyecto Planta de personal</t>
  </si>
  <si>
    <t>SECCIÓN</t>
  </si>
  <si>
    <t>040101</t>
  </si>
  <si>
    <t>UNIDAD EJECUTORA</t>
  </si>
  <si>
    <t>(diligenciar en pesos)</t>
  </si>
  <si>
    <t>DENOMINACIÓN DE CARGOS</t>
  </si>
  <si>
    <t>Grado</t>
  </si>
  <si>
    <t>No. Cargos</t>
  </si>
  <si>
    <t>Salario</t>
  </si>
  <si>
    <t>Remuneraciones no constitutivas de Factor Salarial</t>
  </si>
  <si>
    <t>Contribuciones Inherentes a la Nómina</t>
  </si>
  <si>
    <t>Prestaciones sociales relacionadas con el empleo</t>
  </si>
  <si>
    <t>Total  
Gastos de personal</t>
  </si>
  <si>
    <t>Factores Salariales comunes</t>
  </si>
  <si>
    <t>Factores Salariales Especiales</t>
  </si>
  <si>
    <t>Total</t>
  </si>
  <si>
    <t>Prestaciones sociales según definición legal</t>
  </si>
  <si>
    <t>Otras remuneraciones no constitutivas de Factor Salarial</t>
  </si>
  <si>
    <t>Pensiones</t>
  </si>
  <si>
    <t>Salud</t>
  </si>
  <si>
    <t>Aportes de Cesantías</t>
  </si>
  <si>
    <t>Cajas de Compensación Familiar</t>
  </si>
  <si>
    <t>Aportes Generales al Sistema de Riesgos Laborales</t>
  </si>
  <si>
    <t>Aportes al ICBF</t>
  </si>
  <si>
    <t>Aportes al SENA</t>
  </si>
  <si>
    <t>Aportes a la ESAP</t>
  </si>
  <si>
    <t>Aportes a escuelas industriales e institutos técnicos</t>
  </si>
  <si>
    <t>Subsidio de vivienda Fuerzas Militares y Policía</t>
  </si>
  <si>
    <t>Incapacidades (No de pensiones)</t>
  </si>
  <si>
    <t>Licencias de maternidad y paternidad (No de pensiones)</t>
  </si>
  <si>
    <t>Total 
Transferencia</t>
  </si>
  <si>
    <t>Sueldo básico</t>
  </si>
  <si>
    <t>Gastos de representación</t>
  </si>
  <si>
    <t>Prima técnica salarial</t>
  </si>
  <si>
    <t>Subsidio de alimentación</t>
  </si>
  <si>
    <t>Auxilio de transporte</t>
  </si>
  <si>
    <t>Prima de servicio</t>
  </si>
  <si>
    <t>Bonificación por servicios prestados</t>
  </si>
  <si>
    <t>Horas extras, dominicales, festivos y recargos</t>
  </si>
  <si>
    <t>Prima de navidad</t>
  </si>
  <si>
    <t>Prima de vacaciones</t>
  </si>
  <si>
    <t>Viáticos de los funcionarios en comisión</t>
  </si>
  <si>
    <t>Subtotal 1</t>
  </si>
  <si>
    <t>Factor Salarial Especial 1</t>
  </si>
  <si>
    <t>Factor Salarial Especial 2</t>
  </si>
  <si>
    <t>Factor Salarial Especial 3</t>
  </si>
  <si>
    <t>Factor Salarial Especial 4</t>
  </si>
  <si>
    <t>Subtotal 2</t>
  </si>
  <si>
    <t>Sueldo de vacaciones</t>
  </si>
  <si>
    <t>Indemnización por vacaciones</t>
  </si>
  <si>
    <t>Bonificación especial de recreación</t>
  </si>
  <si>
    <t>Remuneración 1</t>
  </si>
  <si>
    <t>Remuneración 2</t>
  </si>
  <si>
    <t>Remuneración 3</t>
  </si>
  <si>
    <t>Remuneración 4</t>
  </si>
  <si>
    <t>Institutos</t>
  </si>
  <si>
    <t>Anual</t>
  </si>
  <si>
    <t>Técnicos</t>
  </si>
  <si>
    <t>4+5= 6</t>
  </si>
  <si>
    <t>7+8=9</t>
  </si>
  <si>
    <t>11.1+11.2</t>
  </si>
  <si>
    <t>6+9+10=12</t>
  </si>
  <si>
    <t>EMPLEADOS PÚBLICOS</t>
  </si>
  <si>
    <t>NIVEL DIRECTIVO</t>
  </si>
  <si>
    <t>DIRECTOR DE DEPARTAMENTO ADMINISTRATIVO</t>
  </si>
  <si>
    <t>SECRETARIO GENERAL DE DEPARTAMENTO ADMINISTRATIVO</t>
  </si>
  <si>
    <t>DIRECTOR TERRITORIAL</t>
  </si>
  <si>
    <t>DIRECTOR TECNICO</t>
  </si>
  <si>
    <t>DIRECTOR OPERATIVO</t>
  </si>
  <si>
    <t>JEFE DE OFICINA DE SISTEMAS</t>
  </si>
  <si>
    <t>JEFE DE OFICINA DE CONTROL INTERNO</t>
  </si>
  <si>
    <t>NIVEL ASESOR</t>
  </si>
  <si>
    <t>JEFE DE OFICINA ASESORA DE PLANEACION</t>
  </si>
  <si>
    <t>JEFE DE OFICINA ASESORA JURIDICA</t>
  </si>
  <si>
    <t>ASESOR</t>
  </si>
  <si>
    <t>NIVEL PROFESIONAL</t>
  </si>
  <si>
    <t>PROFESIONAL UNIVERSITARIO</t>
  </si>
  <si>
    <t>PROFESIONAL ESPECIALIZADO</t>
  </si>
  <si>
    <t>NIVEL TÉCNICO</t>
  </si>
  <si>
    <t>ANALISTA DE SISTEMAS</t>
  </si>
  <si>
    <t>AUXILIAR TÉCNICO</t>
  </si>
  <si>
    <t>TÉCNICO</t>
  </si>
  <si>
    <t>TÉCNICO ADMINISTRATIVO</t>
  </si>
  <si>
    <t>TÉCNICO OPERATIVO</t>
  </si>
  <si>
    <t>NIVEL ASISTENCIAL</t>
  </si>
  <si>
    <t>AUXILIAR ADMINISTRATIVO</t>
  </si>
  <si>
    <t>AUXILIAR DE SERVICIOS GENERALES</t>
  </si>
  <si>
    <t>CONDUCTOR MECÁNICO</t>
  </si>
  <si>
    <t>OPERARIO CALIFICADO</t>
  </si>
  <si>
    <t>SECRETARIO</t>
  </si>
  <si>
    <t>SECRETARIO BILINGÜE</t>
  </si>
  <si>
    <t>SECRETARIO EJECUTIVO</t>
  </si>
  <si>
    <t>SECRETARIO EJECUTIVO DESPACHO DEL SUBDIRECTOR</t>
  </si>
  <si>
    <t>TOTAL EMPLEADOS PÚBLICOS</t>
  </si>
  <si>
    <t>TRABAJADORES OFICIALES</t>
  </si>
  <si>
    <t>N/A</t>
  </si>
  <si>
    <t>TOTAL TRABAJADORES OFICIALES</t>
  </si>
  <si>
    <t>TOTAL PLANTA DE PERSONAL</t>
  </si>
  <si>
    <t>Departamento Administrativo Nacional de Estadística – DANE;</t>
  </si>
  <si>
    <t>Mes - Decreto 304 de 2020 *</t>
  </si>
  <si>
    <t xml:space="preserve">* Decreto 304 del 27 de febrero de 2020 “Por el cual se fijan las remuneraciones de los empleos que sean desempañados por empleados públicos de la Rama Ejecutiva, Corporaciones Autónomas Regionales y de Desarrollo Sostenible, y se dictan otras disposiciones”.  </t>
  </si>
  <si>
    <t>SUBDIRECTOR DEPARTAMENTO ADMINISTRATIVO</t>
  </si>
  <si>
    <t>Mes *</t>
  </si>
  <si>
    <t>01</t>
  </si>
  <si>
    <t>03</t>
  </si>
  <si>
    <t>04</t>
  </si>
  <si>
    <t>05</t>
  </si>
  <si>
    <t>06</t>
  </si>
  <si>
    <t>07</t>
  </si>
  <si>
    <t>08</t>
  </si>
  <si>
    <t>09</t>
  </si>
  <si>
    <t>COSTOS PLANTA DE PERSONAL - VIGENCIA, Asignaciones básicas de la vigencia 2021, establecidas en el Decreto 961 del 22 de agosto de 2021 “Por el cual se fijan las remuneraciones de los empleos que sean desempeñados por empleados públicos de la Rama Ejecutiva, Corporaciones Autónomas Regionales y de Desarrollo Sostenible, y se dictan otras disposiciones”.</t>
  </si>
  <si>
    <t>Asignaciones básicas de la vigencia 2021, establecidas en el Decreto 961 del 22 de agosto de 2021 “Por el cual se fijan las remuneraciones de los empleos que sean desempeñados por empleados públicos de la Rama Ejecutiva, Corporaciones Autónomas Regionales y de Desarrollo Sostenible, y se dictan otras disposiciones”.</t>
  </si>
  <si>
    <t xml:space="preserve">* Proyectadas con un incremento del 3% con respecto a las asignaciones básicas de la vigencia 2021,  establecidas en el Decreto 961 del 22 de agosto de 2021 			</t>
  </si>
  <si>
    <t xml:space="preserve">COSTOS PLANTA DE PERSONAL - VIGENCIA, Proyectadas con un incremento del 3% con respecto a las asignaciones básicas de la vigencia 2021,  establecidas en el Decreto 961 del 22 de agosto de 2021. </t>
  </si>
  <si>
    <t>COSTOS PLANTA DE PERSONAL - VIGENCIA, Asignaciones básicas de la vigencia 2020, establecidas en el Decreto 304 del 27 de febrero de 2020 “Por el cual se fijan las remuneraciones de los empleos que sean desempañados por empleados públicos de la Rama Ejecutiva, Corporaciones Autónomas Regionales y de Desarrollo Sostenible,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</si>
</sst>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quot;$&quot;\ * #,##0.00_);_(&quot;$&quot;\ * \(#,##0.00\);_(&quot;$&quot;\ * &quot;-&quot;??_);_(@_)"/>
    <numFmt numFmtId="165" formatCode="0_)"/>
    <numFmt numFmtId="166" formatCode="_(&quot;$&quot;\ * #,##0_);_(&quot;$&quot;\ * \(#,##0\);_(&quot;$&quot;\ * &quot;-&quot;??_);_(@_)"/>
  </numFmts>
  <fonts count="13" x14ac:knownFonts="1">
    <font>
      <sz val="12"/>
      <color theme="1"/>
      <name val="Calibri"/>
      <family val="2"/>
      <scheme val="minor"/>
    </font>
    <font>
      <sz val="12"/>
      <color theme="1"/>
      <name val="Calibri"/>
      <family val="2"/>
      <scheme val="minor"/>
    </font>
    <font>
      <sz val="10"/>
      <name val="Arial"/>
      <family val="2"/>
    </font>
    <font>
      <sz val="8"/>
      <name val="Calibri"/>
      <family val="2"/>
    </font>
    <font>
      <sz val="11"/>
      <color theme="1"/>
      <name val="Calibri"/>
      <family val="2"/>
      <scheme val="minor"/>
    </font>
    <font>
      <sz val="9"/>
      <color indexed="81"/>
      <name val="Tahoma"/>
      <family val="2"/>
    </font>
    <font>
      <sz val="9"/>
      <color rgb="FF000000"/>
      <name val="Tahoma"/>
      <family val="2"/>
    </font>
    <font>
      <b/>
      <sz val="9"/>
      <color indexed="81"/>
      <name val="Tahoma"/>
      <family val="2"/>
    </font>
    <font>
      <b/>
      <sz val="9"/>
      <color rgb="FF000000"/>
      <name val="Tahoma"/>
      <family val="2"/>
    </font>
    <font>
      <b/>
      <sz val="10"/>
      <name val="Arial"/>
      <family val="2"/>
    </font>
    <font>
      <b/>
      <sz val="10"/>
      <color rgb="FF000000"/>
      <name val="Arial"/>
      <family val="2"/>
    </font>
    <font>
      <b/>
      <sz val="10"/>
      <color rgb="FFFFFFFF"/>
      <name val="Arial"/>
      <family val="2"/>
    </font>
    <font>
      <u/>
      <sz val="9"/>
      <color rgb="FF000000"/>
      <name val="Tahoma"/>
      <family val="2"/>
    </font>
  </fonts>
  <fills count="8">
    <fill>
      <patternFill patternType="none"/>
    </fill>
    <fill>
      <patternFill patternType="gray125"/>
    </fill>
    <fill>
      <patternFill patternType="solid">
        <fgColor rgb="FFFFFFFF"/>
        <bgColor rgb="FF000000"/>
      </patternFill>
    </fill>
    <fill>
      <patternFill patternType="solid">
        <fgColor rgb="FF790909"/>
        <bgColor rgb="FF000000"/>
      </patternFill>
    </fill>
    <fill>
      <patternFill patternType="solid">
        <fgColor rgb="FF9BC2E6"/>
        <bgColor rgb="FF000000"/>
      </patternFill>
    </fill>
    <fill>
      <patternFill patternType="solid">
        <fgColor rgb="FFDDEBF7"/>
        <bgColor rgb="FF000000"/>
      </patternFill>
    </fill>
    <fill>
      <patternFill patternType="solid">
        <fgColor rgb="FF2F75B5"/>
        <bgColor rgb="FF000000"/>
      </patternFill>
    </fill>
    <fill>
      <patternFill patternType="solid">
        <fgColor rgb="FF1F4E78"/>
        <bgColor rgb="FF000000"/>
      </patternFill>
    </fill>
  </fills>
  <borders count="3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double">
        <color indexed="64"/>
      </bottom>
      <diagonal/>
    </border>
    <border>
      <left/>
      <right/>
      <top style="thin">
        <color auto="1"/>
      </top>
      <bottom style="double">
        <color indexed="64"/>
      </bottom>
      <diagonal/>
    </border>
    <border>
      <left/>
      <right style="thin">
        <color auto="1"/>
      </right>
      <top style="double">
        <color auto="1"/>
      </top>
      <bottom/>
      <diagonal/>
    </border>
    <border>
      <left style="thin">
        <color auto="1"/>
      </left>
      <right/>
      <top style="double">
        <color auto="1"/>
      </top>
      <bottom/>
      <diagonal/>
    </border>
    <border>
      <left style="thin">
        <color auto="1"/>
      </left>
      <right style="thin">
        <color auto="1"/>
      </right>
      <top style="double">
        <color auto="1"/>
      </top>
      <bottom/>
      <diagonal/>
    </border>
    <border>
      <left style="thin">
        <color auto="1"/>
      </left>
      <right/>
      <top/>
      <bottom/>
      <diagonal/>
    </border>
    <border>
      <left/>
      <right style="thin">
        <color indexed="64"/>
      </right>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bottom/>
      <diagonal/>
    </border>
    <border>
      <left style="thin">
        <color auto="1"/>
      </left>
      <right style="double">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double">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indexed="64"/>
      </bottom>
      <diagonal/>
    </border>
    <border>
      <left/>
      <right style="thin">
        <color auto="1"/>
      </right>
      <top style="double">
        <color auto="1"/>
      </top>
      <bottom style="double">
        <color auto="1"/>
      </bottom>
      <diagonal/>
    </border>
    <border>
      <left/>
      <right/>
      <top style="double">
        <color indexed="64"/>
      </top>
      <bottom style="double">
        <color indexed="64"/>
      </bottom>
      <diagonal/>
    </border>
    <border>
      <left style="thin">
        <color auto="1"/>
      </left>
      <right/>
      <top style="double">
        <color auto="1"/>
      </top>
      <bottom style="double">
        <color indexed="64"/>
      </bottom>
      <diagonal/>
    </border>
    <border>
      <left style="thin">
        <color auto="1"/>
      </left>
      <right style="thin">
        <color auto="1"/>
      </right>
      <top style="double">
        <color auto="1"/>
      </top>
      <bottom style="double">
        <color auto="1"/>
      </bottom>
      <diagonal/>
    </border>
    <border>
      <left style="thin">
        <color auto="1"/>
      </left>
      <right style="thin">
        <color auto="1"/>
      </right>
      <top style="thin">
        <color indexed="64"/>
      </top>
      <bottom style="double">
        <color auto="1"/>
      </bottom>
      <diagonal/>
    </border>
    <border>
      <left/>
      <right style="thin">
        <color indexed="64"/>
      </right>
      <top style="thin">
        <color auto="1"/>
      </top>
      <bottom/>
      <diagonal/>
    </border>
    <border>
      <left/>
      <right style="double">
        <color auto="1"/>
      </right>
      <top/>
      <bottom/>
      <diagonal/>
    </border>
    <border>
      <left style="thin">
        <color auto="1"/>
      </left>
      <right style="thin">
        <color auto="1"/>
      </right>
      <top/>
      <bottom style="double">
        <color auto="1"/>
      </bottom>
      <diagonal/>
    </border>
    <border>
      <left style="medium">
        <color auto="1"/>
      </left>
      <right style="thin">
        <color indexed="64"/>
      </right>
      <top style="double">
        <color indexed="64"/>
      </top>
      <bottom style="double">
        <color indexed="64"/>
      </bottom>
      <diagonal/>
    </border>
    <border>
      <left style="thin">
        <color auto="1"/>
      </left>
      <right style="thin">
        <color auto="1"/>
      </right>
      <top style="double">
        <color auto="1"/>
      </top>
      <bottom style="thin">
        <color auto="1"/>
      </bottom>
      <diagonal/>
    </border>
    <border>
      <left/>
      <right/>
      <top style="double">
        <color indexed="64"/>
      </top>
      <bottom/>
      <diagonal/>
    </border>
    <border>
      <left style="thin">
        <color auto="1"/>
      </left>
      <right/>
      <top/>
      <bottom style="double">
        <color auto="1"/>
      </bottom>
      <diagonal/>
    </border>
  </borders>
  <cellStyleXfs count="6">
    <xf numFmtId="0" fontId="0" fillId="0" borderId="0"/>
    <xf numFmtId="44" fontId="1" fillId="0" borderId="0" applyFont="0" applyFill="0" applyBorder="0" applyAlignment="0" applyProtection="0"/>
    <xf numFmtId="42" fontId="1" fillId="0" borderId="0" applyFont="0" applyFill="0" applyBorder="0" applyAlignment="0" applyProtection="0"/>
    <xf numFmtId="37" fontId="2" fillId="0" borderId="0"/>
    <xf numFmtId="0" fontId="2" fillId="0" borderId="0"/>
    <xf numFmtId="0" fontId="4" fillId="0" borderId="0"/>
  </cellStyleXfs>
  <cellXfs count="109">
    <xf numFmtId="0" fontId="0" fillId="0" borderId="0" xfId="0"/>
    <xf numFmtId="0" fontId="3" fillId="2" borderId="0" xfId="4" applyFont="1" applyFill="1" applyBorder="1" applyProtection="1">
      <protection locked="0"/>
    </xf>
    <xf numFmtId="37" fontId="3" fillId="2" borderId="0" xfId="4" applyNumberFormat="1" applyFont="1" applyFill="1" applyBorder="1" applyProtection="1">
      <protection locked="0"/>
    </xf>
    <xf numFmtId="164" fontId="3" fillId="2" borderId="0" xfId="4" applyNumberFormat="1" applyFont="1" applyFill="1" applyBorder="1" applyProtection="1">
      <protection locked="0"/>
    </xf>
    <xf numFmtId="1" fontId="10" fillId="0" borderId="1" xfId="0" applyNumberFormat="1" applyFont="1" applyFill="1" applyBorder="1" applyAlignment="1" applyProtection="1">
      <alignment horizontal="center" vertical="center"/>
      <protection locked="0"/>
    </xf>
    <xf numFmtId="0" fontId="2" fillId="0" borderId="0" xfId="4" applyFont="1" applyFill="1" applyBorder="1" applyProtection="1">
      <protection locked="0"/>
    </xf>
    <xf numFmtId="37" fontId="9" fillId="0" borderId="0" xfId="4" applyNumberFormat="1" applyFont="1" applyFill="1" applyBorder="1" applyProtection="1">
      <protection locked="0"/>
    </xf>
    <xf numFmtId="0" fontId="2" fillId="2" borderId="0" xfId="4" applyFont="1" applyFill="1" applyBorder="1" applyProtection="1">
      <protection locked="0"/>
    </xf>
    <xf numFmtId="0" fontId="10" fillId="2" borderId="0" xfId="0" applyFont="1" applyFill="1" applyBorder="1" applyAlignment="1" applyProtection="1">
      <alignment horizontal="center" vertical="center"/>
      <protection locked="0"/>
    </xf>
    <xf numFmtId="0" fontId="9" fillId="0" borderId="2" xfId="4" applyFont="1" applyFill="1" applyBorder="1" applyProtection="1">
      <protection locked="0"/>
    </xf>
    <xf numFmtId="0" fontId="2" fillId="2" borderId="2" xfId="4" applyFont="1" applyFill="1" applyBorder="1" applyProtection="1">
      <protection locked="0"/>
    </xf>
    <xf numFmtId="0" fontId="2" fillId="0" borderId="3" xfId="4" applyFont="1" applyFill="1" applyBorder="1" applyProtection="1">
      <protection locked="0"/>
    </xf>
    <xf numFmtId="0" fontId="2" fillId="0" borderId="4" xfId="4" applyFont="1" applyFill="1" applyBorder="1" applyProtection="1">
      <protection locked="0"/>
    </xf>
    <xf numFmtId="0" fontId="11" fillId="3" borderId="19"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21"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2" fontId="11" fillId="3" borderId="9"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23" xfId="0" applyFont="1" applyFill="1" applyBorder="1" applyAlignment="1" applyProtection="1">
      <alignment horizontal="center" vertical="center" wrapText="1"/>
      <protection locked="0"/>
    </xf>
    <xf numFmtId="0" fontId="9" fillId="4" borderId="24" xfId="0" applyFont="1" applyFill="1" applyBorder="1" applyAlignment="1" applyProtection="1">
      <alignment vertical="center" wrapText="1"/>
      <protection locked="0"/>
    </xf>
    <xf numFmtId="0" fontId="11" fillId="4" borderId="24" xfId="5" applyFont="1" applyFill="1" applyBorder="1" applyAlignment="1" applyProtection="1">
      <alignment vertical="center" wrapText="1"/>
      <protection locked="0"/>
    </xf>
    <xf numFmtId="0" fontId="11" fillId="4" borderId="25" xfId="5" applyFont="1" applyFill="1" applyBorder="1" applyAlignment="1" applyProtection="1">
      <alignment vertical="center" wrapText="1"/>
      <protection locked="0"/>
    </xf>
    <xf numFmtId="42" fontId="11" fillId="4" borderId="26" xfId="2" applyFont="1" applyFill="1" applyBorder="1" applyAlignment="1" applyProtection="1">
      <alignment vertical="center" wrapText="1"/>
      <protection locked="0"/>
    </xf>
    <xf numFmtId="42" fontId="11" fillId="4" borderId="27" xfId="2" applyFont="1" applyFill="1" applyBorder="1" applyAlignment="1" applyProtection="1">
      <alignment vertical="center" wrapText="1"/>
      <protection locked="0"/>
    </xf>
    <xf numFmtId="42" fontId="11" fillId="4" borderId="25" xfId="2" applyFont="1" applyFill="1" applyBorder="1" applyAlignment="1" applyProtection="1">
      <alignment vertical="center" wrapText="1"/>
      <protection locked="0"/>
    </xf>
    <xf numFmtId="42" fontId="11" fillId="4" borderId="28" xfId="2" applyFont="1" applyFill="1" applyBorder="1" applyAlignment="1" applyProtection="1">
      <alignment vertical="center" wrapText="1"/>
      <protection locked="0"/>
    </xf>
    <xf numFmtId="0" fontId="9" fillId="5" borderId="24" xfId="0" applyFont="1" applyFill="1" applyBorder="1" applyAlignment="1" applyProtection="1">
      <alignment vertical="center" wrapText="1"/>
      <protection locked="0"/>
    </xf>
    <xf numFmtId="2" fontId="2" fillId="2" borderId="13" xfId="4" applyNumberFormat="1" applyFont="1" applyFill="1" applyBorder="1" applyAlignment="1" applyProtection="1">
      <alignment horizontal="center" wrapText="1"/>
      <protection locked="0"/>
    </xf>
    <xf numFmtId="165" fontId="2" fillId="2" borderId="7" xfId="4" applyNumberFormat="1" applyFont="1" applyFill="1" applyBorder="1" applyAlignment="1" applyProtection="1">
      <alignment horizontal="center" wrapText="1"/>
      <protection locked="0"/>
    </xf>
    <xf numFmtId="42" fontId="2" fillId="0" borderId="13" xfId="2" applyFont="1" applyFill="1" applyBorder="1" applyAlignment="1" applyProtection="1">
      <alignment wrapText="1"/>
      <protection locked="0"/>
    </xf>
    <xf numFmtId="42" fontId="2" fillId="0" borderId="19" xfId="2" applyFont="1" applyFill="1" applyBorder="1" applyAlignment="1" applyProtection="1">
      <alignment wrapText="1"/>
      <protection locked="0"/>
    </xf>
    <xf numFmtId="42" fontId="2" fillId="0" borderId="0" xfId="2" applyFont="1" applyFill="1" applyBorder="1" applyAlignment="1" applyProtection="1">
      <alignment wrapText="1"/>
      <protection locked="0"/>
    </xf>
    <xf numFmtId="42" fontId="2" fillId="0" borderId="30" xfId="2" applyFont="1" applyFill="1" applyBorder="1" applyAlignment="1" applyProtection="1">
      <alignment wrapText="1"/>
      <protection locked="0"/>
    </xf>
    <xf numFmtId="165" fontId="2" fillId="2" borderId="19" xfId="4" applyNumberFormat="1" applyFont="1" applyFill="1" applyBorder="1" applyAlignment="1" applyProtection="1">
      <alignment horizontal="center" wrapText="1"/>
      <protection locked="0"/>
    </xf>
    <xf numFmtId="165" fontId="2" fillId="2" borderId="13" xfId="4" applyNumberFormat="1" applyFont="1" applyFill="1" applyBorder="1" applyAlignment="1" applyProtection="1">
      <alignment horizontal="center" wrapText="1"/>
      <protection locked="0"/>
    </xf>
    <xf numFmtId="42" fontId="2" fillId="0" borderId="0" xfId="2" applyFont="1" applyFill="1" applyBorder="1" applyProtection="1">
      <protection locked="0"/>
    </xf>
    <xf numFmtId="165" fontId="2" fillId="2" borderId="31" xfId="4" applyNumberFormat="1" applyFont="1" applyFill="1" applyBorder="1" applyAlignment="1" applyProtection="1">
      <alignment horizontal="center" wrapText="1"/>
      <protection locked="0"/>
    </xf>
    <xf numFmtId="42" fontId="2" fillId="0" borderId="9" xfId="2" applyFont="1" applyFill="1" applyBorder="1" applyProtection="1">
      <protection locked="0"/>
    </xf>
    <xf numFmtId="0" fontId="9" fillId="5" borderId="24" xfId="0" applyFont="1" applyFill="1" applyBorder="1" applyAlignment="1" applyProtection="1">
      <alignment horizontal="center" wrapText="1"/>
      <protection locked="0"/>
    </xf>
    <xf numFmtId="42" fontId="2" fillId="0" borderId="29" xfId="2" applyFont="1" applyFill="1" applyBorder="1" applyProtection="1">
      <protection locked="0"/>
    </xf>
    <xf numFmtId="37" fontId="2" fillId="0" borderId="19" xfId="3" applyFont="1" applyFill="1" applyBorder="1" applyAlignment="1" applyProtection="1">
      <alignment wrapText="1"/>
      <protection locked="0"/>
    </xf>
    <xf numFmtId="42" fontId="2" fillId="0" borderId="13" xfId="2" applyFont="1" applyFill="1" applyBorder="1" applyProtection="1">
      <protection locked="0"/>
    </xf>
    <xf numFmtId="0" fontId="11" fillId="6" borderId="32" xfId="5" applyFont="1" applyFill="1" applyBorder="1" applyAlignment="1" applyProtection="1">
      <alignment vertical="center" wrapText="1"/>
      <protection locked="0"/>
    </xf>
    <xf numFmtId="0" fontId="11" fillId="6" borderId="24" xfId="5" applyFont="1" applyFill="1" applyBorder="1" applyAlignment="1" applyProtection="1">
      <alignment horizontal="center" vertical="center" wrapText="1"/>
      <protection locked="0"/>
    </xf>
    <xf numFmtId="165" fontId="11" fillId="6" borderId="25" xfId="5" applyNumberFormat="1" applyFont="1" applyFill="1" applyBorder="1" applyAlignment="1" applyProtection="1">
      <alignment horizontal="center" vertical="center" wrapText="1"/>
      <protection locked="0"/>
    </xf>
    <xf numFmtId="0" fontId="9" fillId="4" borderId="24" xfId="0" applyFont="1" applyFill="1" applyBorder="1" applyAlignment="1" applyProtection="1">
      <alignment horizontal="center" wrapText="1"/>
      <protection locked="0"/>
    </xf>
    <xf numFmtId="42" fontId="9" fillId="4" borderId="24" xfId="2" applyFont="1" applyFill="1" applyBorder="1" applyAlignment="1" applyProtection="1">
      <alignment wrapText="1"/>
      <protection locked="0"/>
    </xf>
    <xf numFmtId="42" fontId="9" fillId="4" borderId="27" xfId="2" applyFont="1" applyFill="1" applyBorder="1" applyAlignment="1" applyProtection="1">
      <alignment wrapText="1"/>
      <protection locked="0"/>
    </xf>
    <xf numFmtId="42" fontId="9" fillId="4" borderId="25" xfId="2" applyFont="1" applyFill="1" applyBorder="1" applyAlignment="1" applyProtection="1">
      <alignment wrapText="1"/>
      <protection locked="0"/>
    </xf>
    <xf numFmtId="42" fontId="11" fillId="6" borderId="26" xfId="2" applyFont="1" applyFill="1" applyBorder="1" applyAlignment="1" applyProtection="1">
      <alignment vertical="center" wrapText="1"/>
      <protection locked="0"/>
    </xf>
    <xf numFmtId="42" fontId="11" fillId="6" borderId="25" xfId="2" applyFont="1" applyFill="1" applyBorder="1" applyAlignment="1" applyProtection="1">
      <alignment vertical="center" wrapText="1"/>
      <protection locked="0"/>
    </xf>
    <xf numFmtId="42" fontId="11" fillId="6" borderId="27" xfId="2" applyFont="1" applyFill="1" applyBorder="1" applyAlignment="1" applyProtection="1">
      <alignment vertical="center" wrapText="1"/>
      <protection locked="0"/>
    </xf>
    <xf numFmtId="0" fontId="11" fillId="7" borderId="32" xfId="5" applyFont="1" applyFill="1" applyBorder="1" applyAlignment="1" applyProtection="1">
      <alignment vertical="center" wrapText="1"/>
      <protection locked="0"/>
    </xf>
    <xf numFmtId="0" fontId="11" fillId="7" borderId="24" xfId="5" applyFont="1" applyFill="1" applyBorder="1" applyAlignment="1" applyProtection="1">
      <alignment horizontal="center" vertical="center" wrapText="1"/>
      <protection locked="0"/>
    </xf>
    <xf numFmtId="165" fontId="11" fillId="7" borderId="25" xfId="5" applyNumberFormat="1" applyFont="1" applyFill="1" applyBorder="1" applyAlignment="1" applyProtection="1">
      <alignment horizontal="center" vertical="center" wrapText="1"/>
      <protection locked="0"/>
    </xf>
    <xf numFmtId="42" fontId="11" fillId="7" borderId="26" xfId="2" applyFont="1" applyFill="1" applyBorder="1" applyAlignment="1" applyProtection="1">
      <alignment vertical="center" wrapText="1"/>
      <protection locked="0"/>
    </xf>
    <xf numFmtId="42" fontId="11" fillId="7" borderId="25" xfId="2" applyFont="1" applyFill="1" applyBorder="1" applyAlignment="1" applyProtection="1">
      <alignment vertical="center" wrapText="1"/>
      <protection locked="0"/>
    </xf>
    <xf numFmtId="42" fontId="11" fillId="7" borderId="27" xfId="2" applyFont="1" applyFill="1" applyBorder="1" applyAlignment="1" applyProtection="1">
      <alignment vertical="center" wrapText="1"/>
      <protection locked="0"/>
    </xf>
    <xf numFmtId="42" fontId="11" fillId="7" borderId="33" xfId="2" applyFont="1" applyFill="1" applyBorder="1" applyAlignment="1" applyProtection="1">
      <alignment vertical="center" wrapText="1"/>
      <protection locked="0"/>
    </xf>
    <xf numFmtId="0" fontId="9" fillId="5" borderId="24" xfId="0" applyFont="1" applyFill="1" applyBorder="1" applyAlignment="1" applyProtection="1">
      <alignment horizontal="justify" vertical="center" wrapText="1"/>
      <protection locked="0"/>
    </xf>
    <xf numFmtId="42" fontId="9" fillId="5" borderId="24" xfId="2" applyFont="1" applyFill="1" applyBorder="1" applyAlignment="1" applyProtection="1">
      <alignment horizontal="justify" vertical="center" wrapText="1"/>
      <protection locked="0"/>
    </xf>
    <xf numFmtId="42" fontId="9" fillId="5" borderId="25" xfId="2" applyFont="1" applyFill="1" applyBorder="1" applyAlignment="1" applyProtection="1">
      <alignment horizontal="justify" vertical="center" wrapText="1"/>
      <protection locked="0"/>
    </xf>
    <xf numFmtId="42" fontId="9" fillId="5" borderId="27" xfId="2" applyFont="1" applyFill="1" applyBorder="1" applyAlignment="1" applyProtection="1">
      <alignment horizontal="justify" vertical="center" wrapText="1"/>
      <protection locked="0"/>
    </xf>
    <xf numFmtId="165" fontId="9" fillId="5" borderId="24" xfId="0" applyNumberFormat="1" applyFont="1" applyFill="1" applyBorder="1" applyAlignment="1" applyProtection="1">
      <alignment horizontal="center" vertical="center" wrapText="1"/>
      <protection locked="0"/>
    </xf>
    <xf numFmtId="42" fontId="2" fillId="0" borderId="19" xfId="2" applyFont="1" applyFill="1" applyBorder="1" applyProtection="1">
      <protection locked="0"/>
    </xf>
    <xf numFmtId="42" fontId="2" fillId="0" borderId="31" xfId="2" applyFont="1" applyFill="1" applyBorder="1" applyProtection="1">
      <protection locked="0"/>
    </xf>
    <xf numFmtId="0" fontId="11" fillId="3" borderId="19"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165" fontId="2" fillId="2" borderId="8" xfId="4" applyNumberFormat="1" applyFont="1" applyFill="1" applyBorder="1" applyAlignment="1" applyProtection="1">
      <alignment horizontal="center" wrapText="1"/>
      <protection locked="0"/>
    </xf>
    <xf numFmtId="165" fontId="2" fillId="2" borderId="6" xfId="4" applyNumberFormat="1" applyFont="1" applyFill="1" applyBorder="1" applyAlignment="1" applyProtection="1">
      <alignment horizontal="center" wrapText="1"/>
      <protection locked="0"/>
    </xf>
    <xf numFmtId="165" fontId="2" fillId="2" borderId="35" xfId="4" applyNumberFormat="1" applyFont="1" applyFill="1" applyBorder="1" applyAlignment="1" applyProtection="1">
      <alignment horizontal="center" wrapText="1"/>
      <protection locked="0"/>
    </xf>
    <xf numFmtId="42" fontId="2" fillId="0" borderId="7" xfId="2" applyFont="1" applyFill="1" applyBorder="1" applyProtection="1">
      <protection locked="0"/>
    </xf>
    <xf numFmtId="44" fontId="0" fillId="0" borderId="0" xfId="0" applyNumberFormat="1"/>
    <xf numFmtId="166" fontId="11" fillId="6" borderId="25" xfId="1" applyNumberFormat="1" applyFont="1" applyFill="1" applyBorder="1" applyAlignment="1" applyProtection="1">
      <alignment vertical="center" wrapText="1"/>
      <protection locked="0"/>
    </xf>
    <xf numFmtId="37" fontId="2" fillId="0" borderId="19" xfId="3" applyFont="1" applyFill="1" applyBorder="1" applyAlignment="1" applyProtection="1">
      <alignment vertical="center" wrapText="1"/>
      <protection locked="0"/>
    </xf>
    <xf numFmtId="37" fontId="2" fillId="0" borderId="19" xfId="3" applyFont="1" applyFill="1" applyBorder="1" applyAlignment="1" applyProtection="1">
      <alignment horizontal="center" vertical="center" wrapText="1"/>
      <protection locked="0"/>
    </xf>
    <xf numFmtId="49" fontId="2" fillId="2" borderId="13" xfId="4" applyNumberFormat="1" applyFont="1" applyFill="1" applyBorder="1" applyAlignment="1" applyProtection="1">
      <alignment horizontal="center" wrapText="1"/>
      <protection locked="0"/>
    </xf>
    <xf numFmtId="42" fontId="0" fillId="0" borderId="0" xfId="0" applyNumberFormat="1"/>
    <xf numFmtId="42" fontId="2" fillId="2" borderId="7" xfId="2" applyFont="1" applyFill="1" applyBorder="1" applyProtection="1">
      <protection locked="0"/>
    </xf>
    <xf numFmtId="0" fontId="10" fillId="2" borderId="1"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wrapText="1"/>
      <protection locked="0"/>
    </xf>
    <xf numFmtId="0" fontId="11" fillId="3" borderId="31" xfId="0" applyFont="1" applyFill="1" applyBorder="1" applyAlignment="1" applyProtection="1">
      <alignment horizontal="center" vertical="center" wrapText="1"/>
      <protection locked="0"/>
    </xf>
    <xf numFmtId="37" fontId="2" fillId="2" borderId="34" xfId="3" applyFont="1" applyFill="1" applyBorder="1" applyAlignment="1" applyProtection="1">
      <alignment horizontal="justify" vertical="top" wrapText="1"/>
      <protection locked="0"/>
    </xf>
    <xf numFmtId="37" fontId="2" fillId="2" borderId="0" xfId="3" applyFont="1" applyFill="1" applyBorder="1" applyAlignment="1" applyProtection="1">
      <alignment horizontal="justify" vertical="top" wrapText="1"/>
      <protection locked="0"/>
    </xf>
    <xf numFmtId="0" fontId="10" fillId="0" borderId="1" xfId="0" applyFont="1" applyFill="1" applyBorder="1" applyAlignment="1" applyProtection="1">
      <alignment horizontal="justify" vertical="top" wrapText="1"/>
      <protection locked="0"/>
    </xf>
    <xf numFmtId="37" fontId="9" fillId="0" borderId="0" xfId="3" applyFont="1" applyFill="1" applyBorder="1" applyAlignment="1" applyProtection="1">
      <alignment horizontal="center" vertical="center"/>
      <protection locked="0"/>
    </xf>
    <xf numFmtId="37" fontId="9" fillId="0" borderId="0" xfId="4" applyNumberFormat="1" applyFont="1" applyFill="1" applyBorder="1" applyAlignment="1" applyProtection="1">
      <alignment horizontal="center"/>
      <protection locked="0"/>
    </xf>
    <xf numFmtId="1" fontId="10" fillId="0" borderId="1" xfId="0" applyNumberFormat="1" applyFont="1" applyFill="1" applyBorder="1" applyAlignment="1" applyProtection="1">
      <alignment horizontal="center"/>
      <protection locked="0"/>
    </xf>
    <xf numFmtId="0" fontId="10" fillId="0" borderId="1"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6"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9"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cellXfs>
  <cellStyles count="6">
    <cellStyle name="Moneda" xfId="1" builtinId="4"/>
    <cellStyle name="Moneda [0]" xfId="2" builtinId="7"/>
    <cellStyle name="Normal" xfId="0" builtinId="0"/>
    <cellStyle name="Normal 2 2" xfId="5" xr:uid="{00000000-0005-0000-0000-000003000000}"/>
    <cellStyle name="Normal 3" xfId="3" xr:uid="{00000000-0005-0000-0000-000004000000}"/>
    <cellStyle name="Normal_FORMATO"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23"/>
  <sheetViews>
    <sheetView workbookViewId="0">
      <selection activeCell="L7" sqref="L7"/>
    </sheetView>
  </sheetViews>
  <sheetFormatPr baseColWidth="10" defaultRowHeight="16" x14ac:dyDescent="0.2"/>
  <cols>
    <col min="1" max="1" width="58" customWidth="1"/>
    <col min="2" max="3" width="11.1640625" bestFit="1" customWidth="1"/>
    <col min="4" max="4" width="18.33203125" customWidth="1"/>
    <col min="5" max="5" width="18.83203125" bestFit="1" customWidth="1"/>
    <col min="6" max="7" width="16.33203125" bestFit="1" customWidth="1"/>
    <col min="8" max="9" width="15.1640625" bestFit="1" customWidth="1"/>
    <col min="10" max="11" width="17.83203125" bestFit="1" customWidth="1"/>
    <col min="12" max="12" width="16.33203125" bestFit="1" customWidth="1"/>
    <col min="13" max="14" width="17.83203125" bestFit="1" customWidth="1"/>
    <col min="15" max="15" width="11.1640625" bestFit="1" customWidth="1"/>
    <col min="16" max="16" width="18.83203125" bestFit="1" customWidth="1"/>
    <col min="17" max="21" width="11.1640625" bestFit="1" customWidth="1"/>
    <col min="22" max="22" width="18.83203125" bestFit="1" customWidth="1"/>
    <col min="23" max="23" width="17.83203125" bestFit="1" customWidth="1"/>
    <col min="24" max="25" width="16.33203125" bestFit="1" customWidth="1"/>
    <col min="26" max="26" width="17.83203125" bestFit="1" customWidth="1"/>
    <col min="27" max="31" width="11.1640625" bestFit="1" customWidth="1"/>
    <col min="32" max="36" width="17.83203125" bestFit="1" customWidth="1"/>
    <col min="37" max="37" width="16.33203125" bestFit="1" customWidth="1"/>
    <col min="38" max="38" width="17.83203125" bestFit="1" customWidth="1"/>
    <col min="39" max="41" width="16.33203125" bestFit="1" customWidth="1"/>
    <col min="42" max="42" width="11.1640625" bestFit="1" customWidth="1"/>
    <col min="43" max="43" width="18.83203125" bestFit="1" customWidth="1"/>
    <col min="44" max="46" width="16.33203125" bestFit="1" customWidth="1"/>
    <col min="47" max="47" width="18.83203125" bestFit="1" customWidth="1"/>
    <col min="51" max="51" width="19.6640625" bestFit="1" customWidth="1"/>
  </cols>
  <sheetData>
    <row r="1" spans="1:47" ht="15" customHeight="1" x14ac:dyDescent="0.2">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7" ht="15" customHeight="1" x14ac:dyDescent="0.2">
      <c r="A2" s="87" t="s">
        <v>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7" ht="15" customHeight="1" x14ac:dyDescent="0.2">
      <c r="A3" s="88" t="s">
        <v>2</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row>
    <row r="4" spans="1:47" ht="15" customHeight="1" x14ac:dyDescent="0.2">
      <c r="A4" s="4" t="s">
        <v>3</v>
      </c>
      <c r="B4" s="89" t="s">
        <v>4</v>
      </c>
      <c r="C4" s="89"/>
      <c r="D4" s="89"/>
      <c r="E4" s="89"/>
      <c r="F4" s="89"/>
      <c r="G4" s="89"/>
      <c r="H4" s="89"/>
      <c r="I4" s="89"/>
      <c r="J4" s="89"/>
      <c r="K4" s="89"/>
      <c r="L4" s="89"/>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row>
    <row r="5" spans="1:47" ht="15" customHeight="1" x14ac:dyDescent="0.2">
      <c r="A5" s="4" t="s">
        <v>5</v>
      </c>
      <c r="B5" s="90" t="s">
        <v>100</v>
      </c>
      <c r="C5" s="90"/>
      <c r="D5" s="90"/>
      <c r="E5" s="90"/>
      <c r="F5" s="90"/>
      <c r="G5" s="90"/>
      <c r="H5" s="90"/>
      <c r="I5" s="90"/>
      <c r="J5" s="90"/>
      <c r="K5" s="90"/>
      <c r="L5" s="90"/>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row>
    <row r="6" spans="1:47" ht="15" customHeight="1" x14ac:dyDescent="0.2">
      <c r="A6" s="6"/>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46" customHeight="1" x14ac:dyDescent="0.2">
      <c r="A7" s="5"/>
      <c r="B7" s="5"/>
      <c r="C7" s="7"/>
      <c r="D7" s="86" t="s">
        <v>117</v>
      </c>
      <c r="E7" s="86"/>
      <c r="F7" s="86"/>
      <c r="G7" s="86"/>
      <c r="H7" s="86"/>
      <c r="I7" s="86"/>
      <c r="J7" s="86"/>
      <c r="K7" s="86"/>
      <c r="L7" s="81">
        <v>2020</v>
      </c>
      <c r="M7" s="5"/>
      <c r="N7" s="5"/>
      <c r="O7" s="8" t="s">
        <v>6</v>
      </c>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row>
    <row r="8" spans="1:47" ht="15" customHeight="1" thickBot="1" x14ac:dyDescent="0.25">
      <c r="A8" s="9"/>
      <c r="B8" s="7"/>
      <c r="C8" s="10"/>
      <c r="D8" s="11"/>
      <c r="E8" s="11"/>
      <c r="F8" s="11"/>
      <c r="G8" s="11"/>
      <c r="H8" s="12"/>
      <c r="I8" s="11"/>
      <c r="J8" s="11"/>
      <c r="K8" s="11"/>
      <c r="L8" s="11"/>
      <c r="M8" s="11"/>
      <c r="N8" s="11"/>
      <c r="O8" s="11"/>
      <c r="P8" s="11"/>
      <c r="Q8" s="11"/>
      <c r="R8" s="11"/>
      <c r="S8" s="11"/>
      <c r="T8" s="11"/>
      <c r="U8" s="11"/>
      <c r="V8" s="11"/>
      <c r="W8" s="5"/>
      <c r="X8" s="5"/>
      <c r="Y8" s="5"/>
      <c r="Z8" s="5"/>
      <c r="AA8" s="5"/>
      <c r="AB8" s="5"/>
      <c r="AC8" s="5"/>
      <c r="AD8" s="5"/>
      <c r="AE8" s="5"/>
      <c r="AF8" s="5"/>
      <c r="AG8" s="5"/>
      <c r="AH8" s="5"/>
      <c r="AI8" s="5"/>
      <c r="AJ8" s="5"/>
      <c r="AK8" s="5"/>
      <c r="AL8" s="5"/>
      <c r="AM8" s="5"/>
      <c r="AN8" s="5"/>
      <c r="AO8" s="5"/>
      <c r="AP8" s="5"/>
      <c r="AQ8" s="5"/>
      <c r="AR8" s="5"/>
      <c r="AS8" s="5"/>
      <c r="AT8" s="5"/>
      <c r="AU8" s="5"/>
    </row>
    <row r="9" spans="1:47" ht="15" customHeight="1" thickTop="1" x14ac:dyDescent="0.2">
      <c r="A9" s="91" t="s">
        <v>7</v>
      </c>
      <c r="B9" s="93" t="s">
        <v>8</v>
      </c>
      <c r="C9" s="95" t="s">
        <v>9</v>
      </c>
      <c r="D9" s="94" t="s">
        <v>10</v>
      </c>
      <c r="E9" s="97"/>
      <c r="F9" s="97"/>
      <c r="G9" s="97"/>
      <c r="H9" s="97"/>
      <c r="I9" s="97"/>
      <c r="J9" s="97"/>
      <c r="K9" s="97"/>
      <c r="L9" s="97"/>
      <c r="M9" s="97"/>
      <c r="N9" s="97"/>
      <c r="O9" s="97"/>
      <c r="P9" s="97"/>
      <c r="Q9" s="98"/>
      <c r="R9" s="98"/>
      <c r="S9" s="98"/>
      <c r="T9" s="98"/>
      <c r="U9" s="98"/>
      <c r="V9" s="99"/>
      <c r="W9" s="100" t="s">
        <v>11</v>
      </c>
      <c r="X9" s="101"/>
      <c r="Y9" s="101"/>
      <c r="Z9" s="101"/>
      <c r="AA9" s="101"/>
      <c r="AB9" s="101"/>
      <c r="AC9" s="101"/>
      <c r="AD9" s="101"/>
      <c r="AE9" s="101"/>
      <c r="AF9" s="102"/>
      <c r="AG9" s="100" t="s">
        <v>12</v>
      </c>
      <c r="AH9" s="101"/>
      <c r="AI9" s="101"/>
      <c r="AJ9" s="101"/>
      <c r="AK9" s="101"/>
      <c r="AL9" s="101"/>
      <c r="AM9" s="101"/>
      <c r="AN9" s="101"/>
      <c r="AO9" s="101"/>
      <c r="AP9" s="101"/>
      <c r="AQ9" s="102"/>
      <c r="AR9" s="94" t="s">
        <v>13</v>
      </c>
      <c r="AS9" s="97"/>
      <c r="AT9" s="92"/>
      <c r="AU9" s="104" t="s">
        <v>14</v>
      </c>
    </row>
    <row r="10" spans="1:47" ht="15" customHeight="1" x14ac:dyDescent="0.2">
      <c r="A10" s="92"/>
      <c r="B10" s="94"/>
      <c r="C10" s="94"/>
      <c r="D10" s="106" t="s">
        <v>15</v>
      </c>
      <c r="E10" s="107"/>
      <c r="F10" s="107"/>
      <c r="G10" s="107"/>
      <c r="H10" s="107"/>
      <c r="I10" s="107"/>
      <c r="J10" s="107"/>
      <c r="K10" s="107"/>
      <c r="L10" s="107"/>
      <c r="M10" s="107"/>
      <c r="N10" s="107"/>
      <c r="O10" s="107"/>
      <c r="P10" s="108"/>
      <c r="Q10" s="106" t="s">
        <v>16</v>
      </c>
      <c r="R10" s="107"/>
      <c r="S10" s="107"/>
      <c r="T10" s="107"/>
      <c r="U10" s="108"/>
      <c r="V10" s="82" t="s">
        <v>17</v>
      </c>
      <c r="W10" s="106" t="s">
        <v>18</v>
      </c>
      <c r="X10" s="107"/>
      <c r="Y10" s="107"/>
      <c r="Z10" s="108"/>
      <c r="AA10" s="106" t="s">
        <v>19</v>
      </c>
      <c r="AB10" s="107"/>
      <c r="AC10" s="107"/>
      <c r="AD10" s="107"/>
      <c r="AE10" s="108"/>
      <c r="AF10" s="82" t="s">
        <v>17</v>
      </c>
      <c r="AG10" s="96" t="s">
        <v>20</v>
      </c>
      <c r="AH10" s="96" t="s">
        <v>21</v>
      </c>
      <c r="AI10" s="96" t="s">
        <v>22</v>
      </c>
      <c r="AJ10" s="96" t="s">
        <v>23</v>
      </c>
      <c r="AK10" s="96" t="s">
        <v>24</v>
      </c>
      <c r="AL10" s="96" t="s">
        <v>25</v>
      </c>
      <c r="AM10" s="96" t="s">
        <v>26</v>
      </c>
      <c r="AN10" s="96" t="s">
        <v>27</v>
      </c>
      <c r="AO10" s="96" t="s">
        <v>28</v>
      </c>
      <c r="AP10" s="96" t="s">
        <v>29</v>
      </c>
      <c r="AQ10" s="96" t="s">
        <v>17</v>
      </c>
      <c r="AR10" s="103" t="s">
        <v>30</v>
      </c>
      <c r="AS10" s="103" t="s">
        <v>31</v>
      </c>
      <c r="AT10" s="103" t="s">
        <v>32</v>
      </c>
      <c r="AU10" s="105"/>
    </row>
    <row r="11" spans="1:47" ht="15" customHeight="1" x14ac:dyDescent="0.2">
      <c r="A11" s="92"/>
      <c r="B11" s="94"/>
      <c r="C11" s="96"/>
      <c r="D11" s="106" t="s">
        <v>33</v>
      </c>
      <c r="E11" s="108"/>
      <c r="F11" s="82" t="s">
        <v>34</v>
      </c>
      <c r="G11" s="82" t="s">
        <v>35</v>
      </c>
      <c r="H11" s="82" t="s">
        <v>36</v>
      </c>
      <c r="I11" s="82" t="s">
        <v>37</v>
      </c>
      <c r="J11" s="82" t="s">
        <v>38</v>
      </c>
      <c r="K11" s="82" t="s">
        <v>39</v>
      </c>
      <c r="L11" s="82" t="s">
        <v>40</v>
      </c>
      <c r="M11" s="82" t="s">
        <v>41</v>
      </c>
      <c r="N11" s="82" t="s">
        <v>42</v>
      </c>
      <c r="O11" s="82" t="s">
        <v>43</v>
      </c>
      <c r="P11" s="82" t="s">
        <v>44</v>
      </c>
      <c r="Q11" s="82" t="s">
        <v>45</v>
      </c>
      <c r="R11" s="82" t="s">
        <v>46</v>
      </c>
      <c r="S11" s="82" t="s">
        <v>47</v>
      </c>
      <c r="T11" s="82" t="s">
        <v>48</v>
      </c>
      <c r="U11" s="82" t="s">
        <v>49</v>
      </c>
      <c r="V11" s="96"/>
      <c r="W11" s="82" t="s">
        <v>50</v>
      </c>
      <c r="X11" s="82" t="s">
        <v>51</v>
      </c>
      <c r="Y11" s="82" t="s">
        <v>52</v>
      </c>
      <c r="Z11" s="82" t="s">
        <v>44</v>
      </c>
      <c r="AA11" s="82" t="s">
        <v>53</v>
      </c>
      <c r="AB11" s="82" t="s">
        <v>54</v>
      </c>
      <c r="AC11" s="82" t="s">
        <v>55</v>
      </c>
      <c r="AD11" s="82" t="s">
        <v>56</v>
      </c>
      <c r="AE11" s="82" t="s">
        <v>49</v>
      </c>
      <c r="AF11" s="96"/>
      <c r="AG11" s="96"/>
      <c r="AH11" s="96"/>
      <c r="AI11" s="96"/>
      <c r="AJ11" s="96"/>
      <c r="AK11" s="96"/>
      <c r="AL11" s="96"/>
      <c r="AM11" s="96"/>
      <c r="AN11" s="96"/>
      <c r="AO11" s="96" t="s">
        <v>57</v>
      </c>
      <c r="AP11" s="96" t="s">
        <v>57</v>
      </c>
      <c r="AQ11" s="96" t="s">
        <v>57</v>
      </c>
      <c r="AR11" s="103"/>
      <c r="AS11" s="103"/>
      <c r="AT11" s="103"/>
      <c r="AU11" s="105"/>
    </row>
    <row r="12" spans="1:47" ht="25" customHeight="1" x14ac:dyDescent="0.2">
      <c r="A12" s="92"/>
      <c r="B12" s="94"/>
      <c r="C12" s="96"/>
      <c r="D12" s="82" t="s">
        <v>101</v>
      </c>
      <c r="E12" s="13" t="s">
        <v>58</v>
      </c>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t="s">
        <v>59</v>
      </c>
      <c r="AP12" s="96" t="s">
        <v>59</v>
      </c>
      <c r="AQ12" s="96" t="s">
        <v>59</v>
      </c>
      <c r="AR12" s="103"/>
      <c r="AS12" s="103"/>
      <c r="AT12" s="103"/>
      <c r="AU12" s="105"/>
    </row>
    <row r="13" spans="1:47" ht="17" customHeight="1" thickBot="1" x14ac:dyDescent="0.25">
      <c r="A13" s="14">
        <v>1</v>
      </c>
      <c r="B13" s="15">
        <v>2</v>
      </c>
      <c r="C13" s="16">
        <v>3</v>
      </c>
      <c r="D13" s="83"/>
      <c r="E13" s="14">
        <v>4.0999999999999996</v>
      </c>
      <c r="F13" s="14">
        <v>4.2</v>
      </c>
      <c r="G13" s="14">
        <v>4.3</v>
      </c>
      <c r="H13" s="14">
        <v>4.4000000000000004</v>
      </c>
      <c r="I13" s="14">
        <v>4.5</v>
      </c>
      <c r="J13" s="14">
        <v>4.5999999999999996</v>
      </c>
      <c r="K13" s="14">
        <v>4.7</v>
      </c>
      <c r="L13" s="14">
        <v>4.8</v>
      </c>
      <c r="M13" s="14">
        <v>4.9000000000000004</v>
      </c>
      <c r="N13" s="17">
        <v>4.0999999999999996</v>
      </c>
      <c r="O13" s="14">
        <v>4.1100000000000003</v>
      </c>
      <c r="P13" s="14">
        <v>4</v>
      </c>
      <c r="Q13" s="16">
        <v>5.0999999999999996</v>
      </c>
      <c r="R13" s="14">
        <v>5.2</v>
      </c>
      <c r="S13" s="14">
        <v>5.3</v>
      </c>
      <c r="T13" s="14">
        <v>5.4</v>
      </c>
      <c r="U13" s="14">
        <v>5</v>
      </c>
      <c r="V13" s="14" t="s">
        <v>60</v>
      </c>
      <c r="W13" s="14">
        <v>7.1</v>
      </c>
      <c r="X13" s="14">
        <v>7.2</v>
      </c>
      <c r="Y13" s="14">
        <v>7.3</v>
      </c>
      <c r="Z13" s="14">
        <v>7</v>
      </c>
      <c r="AA13" s="14">
        <v>8.1</v>
      </c>
      <c r="AB13" s="14">
        <v>8.1999999999999993</v>
      </c>
      <c r="AC13" s="14">
        <v>8.3000000000000007</v>
      </c>
      <c r="AD13" s="14">
        <v>8.4</v>
      </c>
      <c r="AE13" s="14">
        <v>8</v>
      </c>
      <c r="AF13" s="14" t="s">
        <v>61</v>
      </c>
      <c r="AG13" s="14">
        <v>10.1</v>
      </c>
      <c r="AH13" s="14">
        <v>10.199999999999999</v>
      </c>
      <c r="AI13" s="14">
        <v>10.3</v>
      </c>
      <c r="AJ13" s="14">
        <v>10.4</v>
      </c>
      <c r="AK13" s="14">
        <v>10.5</v>
      </c>
      <c r="AL13" s="14">
        <v>10.6</v>
      </c>
      <c r="AM13" s="14">
        <v>10.7</v>
      </c>
      <c r="AN13" s="14">
        <v>10.8</v>
      </c>
      <c r="AO13" s="14">
        <v>10.9</v>
      </c>
      <c r="AP13" s="17">
        <v>10.1</v>
      </c>
      <c r="AQ13" s="14">
        <v>10</v>
      </c>
      <c r="AR13" s="18">
        <v>11.1</v>
      </c>
      <c r="AS13" s="18">
        <v>11.2</v>
      </c>
      <c r="AT13" s="18" t="s">
        <v>62</v>
      </c>
      <c r="AU13" s="19" t="s">
        <v>63</v>
      </c>
    </row>
    <row r="14" spans="1:47" ht="15" customHeight="1" thickTop="1" thickBot="1" x14ac:dyDescent="0.25">
      <c r="A14" s="20" t="s">
        <v>64</v>
      </c>
      <c r="B14" s="21"/>
      <c r="C14" s="22"/>
      <c r="D14" s="23"/>
      <c r="E14" s="23"/>
      <c r="F14" s="23"/>
      <c r="G14" s="23"/>
      <c r="H14" s="23"/>
      <c r="I14" s="24"/>
      <c r="J14" s="24"/>
      <c r="K14" s="24"/>
      <c r="L14" s="25"/>
      <c r="M14" s="23"/>
      <c r="N14" s="23"/>
      <c r="O14" s="23"/>
      <c r="P14" s="23"/>
      <c r="Q14" s="23"/>
      <c r="R14" s="23"/>
      <c r="S14" s="24"/>
      <c r="T14" s="24"/>
      <c r="U14" s="25"/>
      <c r="V14" s="24"/>
      <c r="W14" s="24"/>
      <c r="X14" s="25"/>
      <c r="Y14" s="23"/>
      <c r="Z14" s="23"/>
      <c r="AA14" s="23"/>
      <c r="AB14" s="23"/>
      <c r="AC14" s="23"/>
      <c r="AD14" s="23"/>
      <c r="AE14" s="23"/>
      <c r="AF14" s="23"/>
      <c r="AG14" s="23"/>
      <c r="AH14" s="23"/>
      <c r="AI14" s="23"/>
      <c r="AJ14" s="23"/>
      <c r="AK14" s="23"/>
      <c r="AL14" s="23"/>
      <c r="AM14" s="24"/>
      <c r="AN14" s="24"/>
      <c r="AO14" s="25"/>
      <c r="AP14" s="24"/>
      <c r="AQ14" s="25"/>
      <c r="AR14" s="26"/>
      <c r="AS14" s="26"/>
      <c r="AT14" s="26"/>
      <c r="AU14" s="25"/>
    </row>
    <row r="15" spans="1:47" ht="15" customHeight="1" thickTop="1" thickBot="1" x14ac:dyDescent="0.25">
      <c r="A15" s="60" t="s">
        <v>65</v>
      </c>
      <c r="B15" s="60"/>
      <c r="C15" s="64">
        <f t="shared" ref="C15:AU15" si="0">SUM(C16:C23)</f>
        <v>17</v>
      </c>
      <c r="D15" s="61">
        <f t="shared" si="0"/>
        <v>56105915</v>
      </c>
      <c r="E15" s="61">
        <f t="shared" si="0"/>
        <v>1402389204</v>
      </c>
      <c r="F15" s="61">
        <f t="shared" si="0"/>
        <v>193965252</v>
      </c>
      <c r="G15" s="61">
        <f t="shared" si="0"/>
        <v>842336112</v>
      </c>
      <c r="H15" s="61">
        <f t="shared" si="0"/>
        <v>0</v>
      </c>
      <c r="I15" s="61">
        <f t="shared" si="0"/>
        <v>0</v>
      </c>
      <c r="J15" s="61">
        <f t="shared" si="0"/>
        <v>74841832.773263887</v>
      </c>
      <c r="K15" s="61">
        <f t="shared" si="0"/>
        <v>49862526.700000003</v>
      </c>
      <c r="L15" s="61">
        <f t="shared" si="0"/>
        <v>0</v>
      </c>
      <c r="M15" s="61">
        <f t="shared" si="0"/>
        <v>480378943.15806556</v>
      </c>
      <c r="N15" s="61">
        <f t="shared" si="0"/>
        <v>215813014.1162037</v>
      </c>
      <c r="O15" s="61">
        <f t="shared" si="0"/>
        <v>0</v>
      </c>
      <c r="P15" s="61">
        <f t="shared" si="0"/>
        <v>3259586884.7475324</v>
      </c>
      <c r="Q15" s="61">
        <f t="shared" si="0"/>
        <v>0</v>
      </c>
      <c r="R15" s="61">
        <f t="shared" si="0"/>
        <v>0</v>
      </c>
      <c r="S15" s="61">
        <f t="shared" si="0"/>
        <v>0</v>
      </c>
      <c r="T15" s="61">
        <f t="shared" si="0"/>
        <v>0</v>
      </c>
      <c r="U15" s="61">
        <f t="shared" si="0"/>
        <v>0</v>
      </c>
      <c r="V15" s="61">
        <f t="shared" si="0"/>
        <v>3259586884.7475324</v>
      </c>
      <c r="W15" s="61">
        <f t="shared" si="0"/>
        <v>165456644.15575618</v>
      </c>
      <c r="X15" s="61">
        <f t="shared" si="0"/>
        <v>20000000</v>
      </c>
      <c r="Y15" s="61">
        <f t="shared" si="0"/>
        <v>9600722.7333333325</v>
      </c>
      <c r="Z15" s="61">
        <f t="shared" si="0"/>
        <v>195057366.88908949</v>
      </c>
      <c r="AA15" s="61">
        <f t="shared" si="0"/>
        <v>0</v>
      </c>
      <c r="AB15" s="61">
        <f t="shared" si="0"/>
        <v>0</v>
      </c>
      <c r="AC15" s="61">
        <f t="shared" si="0"/>
        <v>0</v>
      </c>
      <c r="AD15" s="61">
        <f t="shared" si="0"/>
        <v>0</v>
      </c>
      <c r="AE15" s="61">
        <f t="shared" si="0"/>
        <v>0</v>
      </c>
      <c r="AF15" s="61">
        <f t="shared" si="0"/>
        <v>195057366.88908949</v>
      </c>
      <c r="AG15" s="61">
        <f t="shared" si="0"/>
        <v>215191326.30099994</v>
      </c>
      <c r="AH15" s="61">
        <f t="shared" si="0"/>
        <v>152677338.85745835</v>
      </c>
      <c r="AI15" s="61">
        <f t="shared" si="0"/>
        <v>149683665.54652777</v>
      </c>
      <c r="AJ15" s="61">
        <f t="shared" si="0"/>
        <v>64864493.128650323</v>
      </c>
      <c r="AK15" s="61">
        <f t="shared" si="0"/>
        <v>9397031.6000000574</v>
      </c>
      <c r="AL15" s="61">
        <f t="shared" si="0"/>
        <v>49132285.543044806</v>
      </c>
      <c r="AM15" s="61">
        <f t="shared" si="0"/>
        <v>9167372.3085820358</v>
      </c>
      <c r="AN15" s="61">
        <f t="shared" si="0"/>
        <v>9167372.3085820358</v>
      </c>
      <c r="AO15" s="61">
        <f t="shared" si="0"/>
        <v>16872973.287457597</v>
      </c>
      <c r="AP15" s="61">
        <f t="shared" si="0"/>
        <v>0</v>
      </c>
      <c r="AQ15" s="62">
        <f t="shared" si="0"/>
        <v>676153858.88130307</v>
      </c>
      <c r="AR15" s="61">
        <f t="shared" si="0"/>
        <v>6094970.538925766</v>
      </c>
      <c r="AS15" s="61">
        <f t="shared" si="0"/>
        <v>5748668.1206011325</v>
      </c>
      <c r="AT15" s="63">
        <f t="shared" si="0"/>
        <v>11843638.659526896</v>
      </c>
      <c r="AU15" s="62">
        <f t="shared" si="0"/>
        <v>4130798110.5179257</v>
      </c>
    </row>
    <row r="16" spans="1:47" ht="15" customHeight="1" thickTop="1" x14ac:dyDescent="0.2">
      <c r="A16" s="41" t="s">
        <v>66</v>
      </c>
      <c r="B16" s="28"/>
      <c r="C16" s="29">
        <v>1</v>
      </c>
      <c r="D16" s="80">
        <v>5257010</v>
      </c>
      <c r="E16" s="30">
        <f t="shared" ref="E16:E23" si="1">D16*C16*12</f>
        <v>63084120</v>
      </c>
      <c r="F16" s="30">
        <f>9345782*12</f>
        <v>112149384</v>
      </c>
      <c r="G16" s="30">
        <f>((9345782/2+D16+(D16*20%))*12)</f>
        <v>131775636</v>
      </c>
      <c r="H16" s="30">
        <f>(IF(D16&gt;=1853502,0,66098))*12</f>
        <v>0</v>
      </c>
      <c r="I16" s="30">
        <f>+(IF(D16&lt;(877803*2),102854,0)*12)</f>
        <v>0</v>
      </c>
      <c r="J16" s="30">
        <f>+(E16+F16+G16+H16+I16+(K16/12))/24</f>
        <v>12823139.282118054</v>
      </c>
      <c r="K16" s="30">
        <f>+IF(D16&lt;1853502,((D16+(F16/12)+(G16/12))*0.5),((D16+(F16/12)+(G16/12))*0.35))</f>
        <v>8954433.25</v>
      </c>
      <c r="L16" s="30">
        <v>0</v>
      </c>
      <c r="M16" s="30">
        <f>+(((D16+(F16/12)+(G16/12))+J16/12+K16/12+N16/12)*C16)</f>
        <v>28616129.811927326</v>
      </c>
      <c r="N16" s="30">
        <f>+(D16+F16/12+G16/12)/2+J16/12+K16/12</f>
        <v>14606845.211009838</v>
      </c>
      <c r="O16" s="30"/>
      <c r="P16" s="30">
        <f>SUM(E16:O16)</f>
        <v>372009687.55505526</v>
      </c>
      <c r="Q16" s="30"/>
      <c r="R16" s="30"/>
      <c r="S16" s="30"/>
      <c r="T16" s="30"/>
      <c r="U16" s="30">
        <f t="shared" ref="U16:U23" si="2">SUM(Q16:T16)</f>
        <v>0</v>
      </c>
      <c r="V16" s="30">
        <f>P16+U16</f>
        <v>372009687.55505526</v>
      </c>
      <c r="W16" s="30">
        <f>+(((D16+(F16/12)+(G16/12))/2+(J16/12)+(K16/12))*23/30)*C16</f>
        <v>11198581.328440875</v>
      </c>
      <c r="X16" s="30">
        <v>20000000</v>
      </c>
      <c r="Y16" s="30">
        <f>+((D16+F16/12+G16/12)/30)*2</f>
        <v>1705606.3333333333</v>
      </c>
      <c r="Z16" s="30">
        <f t="shared" ref="Z16:Z23" si="3">SUM(W16:Y16)</f>
        <v>32904187.661774207</v>
      </c>
      <c r="AA16" s="30"/>
      <c r="AB16" s="30"/>
      <c r="AC16" s="30"/>
      <c r="AD16" s="30"/>
      <c r="AE16" s="30">
        <f t="shared" ref="AE16:AE23" si="4">SUM(AA16:AD16)</f>
        <v>0</v>
      </c>
      <c r="AF16" s="30">
        <f>Z16+AE16</f>
        <v>32904187.661774207</v>
      </c>
      <c r="AG16" s="30">
        <f>+(E16+F16+G16+H16+I16+K16/12)*0.12</f>
        <v>36930641.132499993</v>
      </c>
      <c r="AH16" s="30">
        <f>+(E16+F16+G16+H16+I16+K16/12)*0.085</f>
        <v>26159204.135520834</v>
      </c>
      <c r="AI16" s="30">
        <f>(E16+F16+G16+H16+I16+K16/12)/12</f>
        <v>25646278.564236108</v>
      </c>
      <c r="AJ16" s="31">
        <f>+((D16*0.0462528468870403)*C16)*12</f>
        <v>2917820.143363677</v>
      </c>
      <c r="AK16" s="31">
        <f>+((D16*0.00670073013482786)*C16)*12</f>
        <v>422709.66391309688</v>
      </c>
      <c r="AL16" s="30">
        <f>+(((D16*0.0350347003548701)*C16)*12)</f>
        <v>2210133.241350668</v>
      </c>
      <c r="AM16" s="31">
        <f>+(((D16*0.00653696725733068)*C16)*12)</f>
        <v>412378.82689751941</v>
      </c>
      <c r="AN16" s="31">
        <f>+(((D16*0.00653696725733068)*C16)*12)</f>
        <v>412378.82689751941</v>
      </c>
      <c r="AO16" s="30">
        <f>+(((D16*0.0120315909729847)*C16)*12)</f>
        <v>759002.32873068354</v>
      </c>
      <c r="AP16" s="30">
        <v>0</v>
      </c>
      <c r="AQ16" s="32">
        <f t="shared" ref="AQ16:AQ23" si="5">SUM(AG16:AP16)</f>
        <v>95870546.863410085</v>
      </c>
      <c r="AR16" s="31">
        <f>+(((D16*0.00434613338546905)*C16)*12)</f>
        <v>274172.00002493581</v>
      </c>
      <c r="AS16" s="31">
        <f>+((D16*0.00409919593234485)*C16)*12</f>
        <v>258594.16809955437</v>
      </c>
      <c r="AT16" s="31">
        <f>SUM(AR16:AS16)</f>
        <v>532766.16812449018</v>
      </c>
      <c r="AU16" s="33">
        <f t="shared" ref="AU16:AU23" si="6">V16+AF16+AQ16</f>
        <v>500784422.08023953</v>
      </c>
    </row>
    <row r="17" spans="1:47" ht="15" customHeight="1" x14ac:dyDescent="0.2">
      <c r="A17" s="41" t="s">
        <v>103</v>
      </c>
      <c r="B17" s="28"/>
      <c r="C17" s="34">
        <v>1</v>
      </c>
      <c r="D17" s="30">
        <v>3835125</v>
      </c>
      <c r="E17" s="30">
        <f t="shared" si="1"/>
        <v>46021500</v>
      </c>
      <c r="F17" s="30">
        <f>6817989*12</f>
        <v>81815868</v>
      </c>
      <c r="G17" s="30">
        <f>((6817989+D17)/2)*12</f>
        <v>63918684</v>
      </c>
      <c r="H17" s="30">
        <f t="shared" ref="H17:H80" si="7">(IF(D17&gt;=1853502,0,66098))*12</f>
        <v>0</v>
      </c>
      <c r="I17" s="30">
        <f t="shared" ref="I17:I80" si="8">+(IF(D17&lt;(877803*2),102854,0)*12)</f>
        <v>0</v>
      </c>
      <c r="J17" s="30">
        <f>+(E17+F17+G17+H17+I17+(K17/12))/24</f>
        <v>8009255.2390625002</v>
      </c>
      <c r="K17" s="30">
        <f t="shared" ref="K17:K26" si="9">+IF(D17&lt;1853502,((D17+(F17/12)+(G17/12))*0.5),((D17+(F17/12)+(G17/12))*0.35))</f>
        <v>5592884.8499999996</v>
      </c>
      <c r="L17" s="30">
        <v>0</v>
      </c>
      <c r="M17" s="30">
        <f t="shared" ref="M17:M22" si="10">+(((D17+(F17/12)+(G17/12))+J17/12+K17/12+N17/12)*C17)</f>
        <v>17873461.605262585</v>
      </c>
      <c r="N17" s="30">
        <f>+(D17+F17/12+G17/12)/2+J17/12+K17/12</f>
        <v>9123347.1740885433</v>
      </c>
      <c r="O17" s="30"/>
      <c r="P17" s="30">
        <f t="shared" ref="P17:P80" si="11">SUM(E17:O17)</f>
        <v>232355000.8684136</v>
      </c>
      <c r="Q17" s="30"/>
      <c r="R17" s="30"/>
      <c r="S17" s="30"/>
      <c r="T17" s="30"/>
      <c r="U17" s="30">
        <f t="shared" si="2"/>
        <v>0</v>
      </c>
      <c r="V17" s="30">
        <f t="shared" ref="V17:V23" si="12">P17+U17</f>
        <v>232355000.8684136</v>
      </c>
      <c r="W17" s="30">
        <f t="shared" ref="W17:W28" si="13">+(((D17+(F17/12)+(G17/12))/2+(J17/12)+(K17/12))*23/30)*C17</f>
        <v>6994566.1668012161</v>
      </c>
      <c r="X17" s="30">
        <v>0</v>
      </c>
      <c r="Y17" s="30">
        <f>+((D17+F17/12)/30)*2</f>
        <v>710207.6</v>
      </c>
      <c r="Z17" s="30">
        <f t="shared" si="3"/>
        <v>7704773.7668012157</v>
      </c>
      <c r="AA17" s="30"/>
      <c r="AB17" s="30"/>
      <c r="AC17" s="30"/>
      <c r="AD17" s="30"/>
      <c r="AE17" s="30">
        <f t="shared" si="4"/>
        <v>0</v>
      </c>
      <c r="AF17" s="30">
        <f t="shared" ref="AF17:AF23" si="14">Z17+AE17</f>
        <v>7704773.7668012157</v>
      </c>
      <c r="AG17" s="30">
        <f>+(E17+F17+G17+H17+I17+K17/12)*0.12</f>
        <v>23066655.088500001</v>
      </c>
      <c r="AH17" s="30">
        <f>+(E17+F17+G17+H17+I17+K17/12)*0.085</f>
        <v>16338880.687687501</v>
      </c>
      <c r="AI17" s="30">
        <f t="shared" ref="AI17" si="15">(E17+F17+G17+H17+I17+K17/12)/12</f>
        <v>16018510.478125</v>
      </c>
      <c r="AJ17" s="31">
        <f t="shared" ref="AJ17:AJ80" si="16">+((D17*0.0462528468870403)*C17)*12</f>
        <v>2128625.3930119253</v>
      </c>
      <c r="AK17" s="31">
        <f t="shared" ref="AK17:AK80" si="17">+((D17*0.00670073013482786)*C17)*12</f>
        <v>308377.65189998038</v>
      </c>
      <c r="AL17" s="30">
        <f t="shared" ref="AL17:AL80" si="18">+(((D17*0.0350347003548701)*C17)*12)</f>
        <v>1612349.4623816544</v>
      </c>
      <c r="AM17" s="31">
        <f t="shared" ref="AM17:AM80" si="19">+(((D17*0.00653696725733068)*C17)*12)</f>
        <v>300841.03863324388</v>
      </c>
      <c r="AN17" s="31">
        <f t="shared" ref="AN17:AN80" si="20">+(((D17*0.00653696725733068)*C17)*12)</f>
        <v>300841.03863324388</v>
      </c>
      <c r="AO17" s="30">
        <f t="shared" ref="AO17:AO80" si="21">+(((D17*0.0120315909729847)*C17)*12)</f>
        <v>553711.86396321538</v>
      </c>
      <c r="AP17" s="30">
        <v>0</v>
      </c>
      <c r="AQ17" s="32">
        <f t="shared" si="5"/>
        <v>60628792.702835761</v>
      </c>
      <c r="AR17" s="31">
        <f t="shared" ref="AR17:AR80" si="22">+(((D17*0.00434613338546905)*C17)*12)</f>
        <v>200015.57759936393</v>
      </c>
      <c r="AS17" s="31">
        <f t="shared" ref="AS17:AS80" si="23">+((D17*0.00409919593234485)*C17)*12</f>
        <v>188651.14560040849</v>
      </c>
      <c r="AT17" s="31">
        <f t="shared" ref="AT17:AT23" si="24">SUM(AR17:AS17)</f>
        <v>388666.72319977242</v>
      </c>
      <c r="AU17" s="33">
        <f t="shared" si="6"/>
        <v>300688567.33805054</v>
      </c>
    </row>
    <row r="18" spans="1:47" ht="15" customHeight="1" x14ac:dyDescent="0.2">
      <c r="A18" s="41" t="s">
        <v>67</v>
      </c>
      <c r="B18" s="35">
        <v>22</v>
      </c>
      <c r="C18" s="34">
        <v>1</v>
      </c>
      <c r="D18" s="30">
        <v>9699272</v>
      </c>
      <c r="E18" s="30">
        <f t="shared" si="1"/>
        <v>116391264</v>
      </c>
      <c r="F18" s="30">
        <v>0</v>
      </c>
      <c r="G18" s="30">
        <f>+(D18*50%)*C18*12</f>
        <v>58195632</v>
      </c>
      <c r="H18" s="30">
        <f t="shared" si="7"/>
        <v>0</v>
      </c>
      <c r="I18" s="30">
        <f t="shared" si="8"/>
        <v>0</v>
      </c>
      <c r="J18" s="30">
        <f>+(E18+H18+I18+(K18/12))/24</f>
        <v>4867316.9645833336</v>
      </c>
      <c r="K18" s="30">
        <f t="shared" si="9"/>
        <v>5092117.8</v>
      </c>
      <c r="L18" s="30">
        <v>0</v>
      </c>
      <c r="M18" s="30">
        <f>+(((D18+(F18/12)+(G18/12))+J18/12+K18/12+N18/12)*C18)</f>
        <v>16054228.138469329</v>
      </c>
      <c r="N18" s="30">
        <f>+(D18+F18/12+G18/12)/2+J18/12+K18/12</f>
        <v>8104406.8970486112</v>
      </c>
      <c r="O18" s="30"/>
      <c r="P18" s="30">
        <f t="shared" si="11"/>
        <v>208704965.80010131</v>
      </c>
      <c r="Q18" s="30"/>
      <c r="R18" s="30"/>
      <c r="S18" s="30"/>
      <c r="T18" s="30"/>
      <c r="U18" s="30">
        <f t="shared" si="2"/>
        <v>0</v>
      </c>
      <c r="V18" s="30">
        <f t="shared" si="12"/>
        <v>208704965.80010131</v>
      </c>
      <c r="W18" s="30">
        <f t="shared" si="13"/>
        <v>6213378.621070602</v>
      </c>
      <c r="X18" s="30">
        <v>0</v>
      </c>
      <c r="Y18" s="30">
        <f>+((D18)/30)*2</f>
        <v>646618.1333333333</v>
      </c>
      <c r="Z18" s="30">
        <f t="shared" si="3"/>
        <v>6859996.7544039357</v>
      </c>
      <c r="AA18" s="30"/>
      <c r="AB18" s="30"/>
      <c r="AC18" s="30"/>
      <c r="AD18" s="30"/>
      <c r="AE18" s="30">
        <f t="shared" si="4"/>
        <v>0</v>
      </c>
      <c r="AF18" s="30">
        <f t="shared" si="14"/>
        <v>6859996.7544039357</v>
      </c>
      <c r="AG18" s="30">
        <f>+(((D18+H18/12)*12%)*12)*C18</f>
        <v>13966951.68</v>
      </c>
      <c r="AH18" s="30">
        <f>+(E18+H18+I18+K18/12)*0.085</f>
        <v>9929326.6077500004</v>
      </c>
      <c r="AI18" s="30">
        <f>(E18+H18+I18+K18/12)/12</f>
        <v>9734633.9291666672</v>
      </c>
      <c r="AJ18" s="31">
        <f t="shared" si="16"/>
        <v>5383427.3127810862</v>
      </c>
      <c r="AK18" s="31">
        <f t="shared" si="17"/>
        <v>779906.45011550502</v>
      </c>
      <c r="AL18" s="30">
        <f t="shared" si="18"/>
        <v>4077733.0581645798</v>
      </c>
      <c r="AM18" s="31">
        <f t="shared" si="19"/>
        <v>760845.881807331</v>
      </c>
      <c r="AN18" s="31">
        <f t="shared" si="20"/>
        <v>760845.881807331</v>
      </c>
      <c r="AO18" s="30">
        <f t="shared" si="21"/>
        <v>1400372.0812766789</v>
      </c>
      <c r="AP18" s="30">
        <v>0</v>
      </c>
      <c r="AQ18" s="32">
        <f t="shared" si="5"/>
        <v>46794042.882869177</v>
      </c>
      <c r="AR18" s="31">
        <f t="shared" si="22"/>
        <v>505851.95824734197</v>
      </c>
      <c r="AS18" s="31">
        <f t="shared" si="23"/>
        <v>477110.59594927554</v>
      </c>
      <c r="AT18" s="31">
        <f t="shared" si="24"/>
        <v>982962.55419661757</v>
      </c>
      <c r="AU18" s="33">
        <f t="shared" si="6"/>
        <v>262359005.43737444</v>
      </c>
    </row>
    <row r="19" spans="1:47" ht="15" customHeight="1" x14ac:dyDescent="0.2">
      <c r="A19" s="41" t="s">
        <v>68</v>
      </c>
      <c r="B19" s="35">
        <v>13</v>
      </c>
      <c r="C19" s="34">
        <v>6</v>
      </c>
      <c r="D19" s="30">
        <v>5861336</v>
      </c>
      <c r="E19" s="30">
        <f t="shared" si="1"/>
        <v>422016192</v>
      </c>
      <c r="F19" s="30">
        <v>0</v>
      </c>
      <c r="G19" s="30">
        <f t="shared" ref="G19:G26" si="25">+(D19*50%)*C19*12</f>
        <v>211008096</v>
      </c>
      <c r="H19" s="30">
        <f t="shared" si="7"/>
        <v>0</v>
      </c>
      <c r="I19" s="30">
        <f t="shared" si="8"/>
        <v>0</v>
      </c>
      <c r="J19" s="30">
        <f t="shared" ref="J19:J82" si="26">+(E19+H19+I19+(K19/12))/24</f>
        <v>17612500.605555557</v>
      </c>
      <c r="K19" s="30">
        <f t="shared" si="9"/>
        <v>8205870.3999999994</v>
      </c>
      <c r="L19" s="30">
        <v>0</v>
      </c>
      <c r="M19" s="30">
        <f>+(((D19+(F19/12)+(G19/12))+J19/12+K19/12+N19/12)*C19)</f>
        <v>195203858.25416666</v>
      </c>
      <c r="N19" s="30">
        <f t="shared" ref="N19:N28" si="27">+(((D19+(F19/12)+(G19/12))/2+J19/12+K19/12)*C19)</f>
        <v>83245217.502777785</v>
      </c>
      <c r="O19" s="30"/>
      <c r="P19" s="30">
        <f t="shared" si="11"/>
        <v>937291734.76250005</v>
      </c>
      <c r="Q19" s="30"/>
      <c r="R19" s="30"/>
      <c r="S19" s="30"/>
      <c r="T19" s="30"/>
      <c r="U19" s="30">
        <f t="shared" si="2"/>
        <v>0</v>
      </c>
      <c r="V19" s="30">
        <f t="shared" si="12"/>
        <v>937291734.76250005</v>
      </c>
      <c r="W19" s="30">
        <f t="shared" si="13"/>
        <v>63821333.418796301</v>
      </c>
      <c r="X19" s="30">
        <v>0</v>
      </c>
      <c r="Y19" s="30">
        <f>+(((D19)/30)*2)*C19</f>
        <v>2344534.4</v>
      </c>
      <c r="Z19" s="30">
        <f t="shared" si="3"/>
        <v>66165867.818796299</v>
      </c>
      <c r="AA19" s="30"/>
      <c r="AB19" s="30"/>
      <c r="AC19" s="30"/>
      <c r="AD19" s="30"/>
      <c r="AE19" s="30">
        <f t="shared" si="4"/>
        <v>0</v>
      </c>
      <c r="AF19" s="30">
        <f t="shared" si="14"/>
        <v>66165867.818796299</v>
      </c>
      <c r="AG19" s="30">
        <f t="shared" ref="AG19:AG82" si="28">+(((D19+H19/12)*12%)*12)*C19</f>
        <v>50641943.039999999</v>
      </c>
      <c r="AH19" s="30">
        <f t="shared" ref="AH19:AH82" si="29">+(E19+H19+I19+K19/12)*0.085</f>
        <v>35929501.235333338</v>
      </c>
      <c r="AI19" s="30">
        <f t="shared" ref="AI19:AI82" si="30">(E19+H19+I19+K19/12)/12</f>
        <v>35225001.211111113</v>
      </c>
      <c r="AJ19" s="31">
        <f t="shared" si="16"/>
        <v>19519450.312427804</v>
      </c>
      <c r="AK19" s="31">
        <f t="shared" si="17"/>
        <v>2827816.6151196999</v>
      </c>
      <c r="AL19" s="30">
        <f t="shared" si="18"/>
        <v>14785210.831623327</v>
      </c>
      <c r="AM19" s="31">
        <f t="shared" si="19"/>
        <v>2758706.0291673774</v>
      </c>
      <c r="AN19" s="31">
        <f t="shared" si="20"/>
        <v>2758706.0291673774</v>
      </c>
      <c r="AO19" s="30">
        <f t="shared" si="21"/>
        <v>5077526.2061205776</v>
      </c>
      <c r="AP19" s="30">
        <v>0</v>
      </c>
      <c r="AQ19" s="32">
        <f t="shared" si="5"/>
        <v>169523861.51007062</v>
      </c>
      <c r="AR19" s="31">
        <f t="shared" si="22"/>
        <v>1834138.6612597166</v>
      </c>
      <c r="AS19" s="31">
        <f t="shared" si="23"/>
        <v>1729927.0576300628</v>
      </c>
      <c r="AT19" s="31">
        <f t="shared" si="24"/>
        <v>3564065.7188897794</v>
      </c>
      <c r="AU19" s="33">
        <f t="shared" si="6"/>
        <v>1172981464.091367</v>
      </c>
    </row>
    <row r="20" spans="1:47" ht="15" customHeight="1" x14ac:dyDescent="0.2">
      <c r="A20" s="41" t="s">
        <v>69</v>
      </c>
      <c r="B20" s="35">
        <v>19</v>
      </c>
      <c r="C20" s="34">
        <v>5</v>
      </c>
      <c r="D20" s="65">
        <v>7863293</v>
      </c>
      <c r="E20" s="30">
        <f t="shared" si="1"/>
        <v>471797580</v>
      </c>
      <c r="F20" s="30">
        <v>0</v>
      </c>
      <c r="G20" s="30">
        <f t="shared" si="25"/>
        <v>235898790</v>
      </c>
      <c r="H20" s="30">
        <f t="shared" si="7"/>
        <v>0</v>
      </c>
      <c r="I20" s="30">
        <f t="shared" si="8"/>
        <v>0</v>
      </c>
      <c r="J20" s="30">
        <f t="shared" si="26"/>
        <v>19691678.798350696</v>
      </c>
      <c r="K20" s="30">
        <f t="shared" si="9"/>
        <v>9632533.9249999989</v>
      </c>
      <c r="L20" s="30">
        <v>0</v>
      </c>
      <c r="M20" s="30">
        <f t="shared" si="10"/>
        <v>183585314.35058895</v>
      </c>
      <c r="N20" s="30">
        <f t="shared" si="27"/>
        <v>81022235.718062788</v>
      </c>
      <c r="O20" s="30"/>
      <c r="P20" s="30">
        <f t="shared" si="11"/>
        <v>1001628132.7920023</v>
      </c>
      <c r="Q20" s="30"/>
      <c r="R20" s="30"/>
      <c r="S20" s="30"/>
      <c r="T20" s="30"/>
      <c r="U20" s="30">
        <f t="shared" si="2"/>
        <v>0</v>
      </c>
      <c r="V20" s="30">
        <f t="shared" si="12"/>
        <v>1001628132.7920023</v>
      </c>
      <c r="W20" s="30">
        <f t="shared" si="13"/>
        <v>62117047.383848138</v>
      </c>
      <c r="X20" s="30">
        <v>0</v>
      </c>
      <c r="Y20" s="30">
        <f t="shared" ref="Y20:Y23" si="31">+(((D20)/30)*2)*C20</f>
        <v>2621097.6666666665</v>
      </c>
      <c r="Z20" s="30">
        <f t="shared" si="3"/>
        <v>64738145.050514802</v>
      </c>
      <c r="AA20" s="30"/>
      <c r="AB20" s="30"/>
      <c r="AC20" s="30"/>
      <c r="AD20" s="30"/>
      <c r="AE20" s="30">
        <f t="shared" si="4"/>
        <v>0</v>
      </c>
      <c r="AF20" s="30">
        <f t="shared" si="14"/>
        <v>64738145.050514802</v>
      </c>
      <c r="AG20" s="30">
        <f t="shared" si="28"/>
        <v>56615709.599999994</v>
      </c>
      <c r="AH20" s="30">
        <f t="shared" si="29"/>
        <v>40171024.748635419</v>
      </c>
      <c r="AI20" s="30">
        <f t="shared" si="30"/>
        <v>39383357.596701391</v>
      </c>
      <c r="AJ20" s="31">
        <f t="shared" si="16"/>
        <v>21821981.229416147</v>
      </c>
      <c r="AK20" s="31">
        <f t="shared" si="17"/>
        <v>3161388.2618448585</v>
      </c>
      <c r="AL20" s="30">
        <f t="shared" si="18"/>
        <v>16529286.843452856</v>
      </c>
      <c r="AM20" s="31">
        <f t="shared" si="19"/>
        <v>3084125.3325478518</v>
      </c>
      <c r="AN20" s="31">
        <f t="shared" si="20"/>
        <v>3084125.3325478518</v>
      </c>
      <c r="AO20" s="30">
        <f t="shared" si="21"/>
        <v>5676475.5046040267</v>
      </c>
      <c r="AP20" s="30">
        <v>0</v>
      </c>
      <c r="AQ20" s="32">
        <f t="shared" si="5"/>
        <v>189527474.44975042</v>
      </c>
      <c r="AR20" s="31">
        <f t="shared" si="22"/>
        <v>2050495.2136215051</v>
      </c>
      <c r="AS20" s="31">
        <f t="shared" si="23"/>
        <v>1933990.7208261439</v>
      </c>
      <c r="AT20" s="31">
        <f t="shared" si="24"/>
        <v>3984485.9344476489</v>
      </c>
      <c r="AU20" s="33">
        <f t="shared" si="6"/>
        <v>1255893752.2922676</v>
      </c>
    </row>
    <row r="21" spans="1:47" ht="15" customHeight="1" x14ac:dyDescent="0.2">
      <c r="A21" s="41" t="s">
        <v>70</v>
      </c>
      <c r="B21" s="35">
        <v>19</v>
      </c>
      <c r="C21" s="34">
        <v>1</v>
      </c>
      <c r="D21" s="65">
        <v>7863293</v>
      </c>
      <c r="E21" s="30">
        <f t="shared" si="1"/>
        <v>94359516</v>
      </c>
      <c r="F21" s="30">
        <v>0</v>
      </c>
      <c r="G21" s="30">
        <f t="shared" si="25"/>
        <v>47179758</v>
      </c>
      <c r="H21" s="30">
        <f t="shared" si="7"/>
        <v>0</v>
      </c>
      <c r="I21" s="30">
        <f t="shared" si="8"/>
        <v>0</v>
      </c>
      <c r="J21" s="30">
        <f t="shared" si="26"/>
        <v>3945980.6278645829</v>
      </c>
      <c r="K21" s="30">
        <f t="shared" si="9"/>
        <v>4128228.8249999997</v>
      </c>
      <c r="L21" s="30">
        <v>0</v>
      </c>
      <c r="M21" s="30">
        <f t="shared" si="10"/>
        <v>13015316.99921694</v>
      </c>
      <c r="N21" s="30">
        <f t="shared" si="27"/>
        <v>6570320.5377387153</v>
      </c>
      <c r="O21" s="30"/>
      <c r="P21" s="30">
        <f t="shared" si="11"/>
        <v>169199120.98982021</v>
      </c>
      <c r="Q21" s="30"/>
      <c r="R21" s="30"/>
      <c r="S21" s="30"/>
      <c r="T21" s="30"/>
      <c r="U21" s="30">
        <f t="shared" si="2"/>
        <v>0</v>
      </c>
      <c r="V21" s="30">
        <f t="shared" si="12"/>
        <v>169199120.98982021</v>
      </c>
      <c r="W21" s="30">
        <f t="shared" si="13"/>
        <v>5037245.7455996824</v>
      </c>
      <c r="X21" s="30">
        <v>0</v>
      </c>
      <c r="Y21" s="30">
        <f t="shared" si="31"/>
        <v>524219.53333333333</v>
      </c>
      <c r="Z21" s="30">
        <f t="shared" si="3"/>
        <v>5561465.2789330157</v>
      </c>
      <c r="AA21" s="30"/>
      <c r="AB21" s="30"/>
      <c r="AC21" s="30"/>
      <c r="AD21" s="30"/>
      <c r="AE21" s="30">
        <f t="shared" si="4"/>
        <v>0</v>
      </c>
      <c r="AF21" s="30">
        <f t="shared" si="14"/>
        <v>5561465.2789330157</v>
      </c>
      <c r="AG21" s="30">
        <f t="shared" si="28"/>
        <v>11323141.919999998</v>
      </c>
      <c r="AH21" s="30">
        <f t="shared" si="29"/>
        <v>8049800.4808437498</v>
      </c>
      <c r="AI21" s="30">
        <f t="shared" si="30"/>
        <v>7891961.2557291659</v>
      </c>
      <c r="AJ21" s="31">
        <f t="shared" si="16"/>
        <v>4364396.2458832301</v>
      </c>
      <c r="AK21" s="31">
        <f t="shared" si="17"/>
        <v>632277.65236897161</v>
      </c>
      <c r="AL21" s="30">
        <f t="shared" si="18"/>
        <v>3305857.3686905708</v>
      </c>
      <c r="AM21" s="31">
        <f t="shared" si="19"/>
        <v>616825.06650957046</v>
      </c>
      <c r="AN21" s="31">
        <f t="shared" si="20"/>
        <v>616825.06650957046</v>
      </c>
      <c r="AO21" s="30">
        <f t="shared" si="21"/>
        <v>1135295.1009208052</v>
      </c>
      <c r="AP21" s="30">
        <v>0</v>
      </c>
      <c r="AQ21" s="32">
        <f t="shared" si="5"/>
        <v>37936380.157455623</v>
      </c>
      <c r="AR21" s="31">
        <f t="shared" si="22"/>
        <v>410099.04272430099</v>
      </c>
      <c r="AS21" s="31">
        <f t="shared" si="23"/>
        <v>386798.14416522876</v>
      </c>
      <c r="AT21" s="31">
        <f t="shared" si="24"/>
        <v>796897.18688952969</v>
      </c>
      <c r="AU21" s="33">
        <f t="shared" si="6"/>
        <v>212696966.42620885</v>
      </c>
    </row>
    <row r="22" spans="1:47" ht="15" customHeight="1" x14ac:dyDescent="0.2">
      <c r="A22" s="41" t="s">
        <v>71</v>
      </c>
      <c r="B22" s="35">
        <v>19</v>
      </c>
      <c r="C22" s="34">
        <v>1</v>
      </c>
      <c r="D22" s="65">
        <v>7863293</v>
      </c>
      <c r="E22" s="30">
        <f t="shared" si="1"/>
        <v>94359516</v>
      </c>
      <c r="F22" s="30">
        <v>0</v>
      </c>
      <c r="G22" s="30">
        <f t="shared" si="25"/>
        <v>47179758</v>
      </c>
      <c r="H22" s="30">
        <f t="shared" si="7"/>
        <v>0</v>
      </c>
      <c r="I22" s="30">
        <f t="shared" si="8"/>
        <v>0</v>
      </c>
      <c r="J22" s="30">
        <f t="shared" si="26"/>
        <v>3945980.6278645829</v>
      </c>
      <c r="K22" s="30">
        <f t="shared" si="9"/>
        <v>4128228.8249999997</v>
      </c>
      <c r="L22" s="30">
        <v>0</v>
      </c>
      <c r="M22" s="30">
        <f t="shared" si="10"/>
        <v>13015316.99921694</v>
      </c>
      <c r="N22" s="30">
        <f t="shared" si="27"/>
        <v>6570320.5377387153</v>
      </c>
      <c r="O22" s="30"/>
      <c r="P22" s="30">
        <f t="shared" si="11"/>
        <v>169199120.98982021</v>
      </c>
      <c r="Q22" s="30"/>
      <c r="R22" s="30"/>
      <c r="S22" s="30"/>
      <c r="T22" s="30"/>
      <c r="U22" s="30">
        <f t="shared" si="2"/>
        <v>0</v>
      </c>
      <c r="V22" s="30">
        <f t="shared" si="12"/>
        <v>169199120.98982021</v>
      </c>
      <c r="W22" s="30">
        <f t="shared" si="13"/>
        <v>5037245.7455996824</v>
      </c>
      <c r="X22" s="30">
        <v>0</v>
      </c>
      <c r="Y22" s="30">
        <f t="shared" si="31"/>
        <v>524219.53333333333</v>
      </c>
      <c r="Z22" s="30">
        <f t="shared" si="3"/>
        <v>5561465.2789330157</v>
      </c>
      <c r="AA22" s="30"/>
      <c r="AB22" s="30"/>
      <c r="AC22" s="30"/>
      <c r="AD22" s="30"/>
      <c r="AE22" s="30">
        <f t="shared" si="4"/>
        <v>0</v>
      </c>
      <c r="AF22" s="30">
        <f t="shared" si="14"/>
        <v>5561465.2789330157</v>
      </c>
      <c r="AG22" s="30">
        <f t="shared" si="28"/>
        <v>11323141.919999998</v>
      </c>
      <c r="AH22" s="30">
        <f t="shared" si="29"/>
        <v>8049800.4808437498</v>
      </c>
      <c r="AI22" s="30">
        <f t="shared" si="30"/>
        <v>7891961.2557291659</v>
      </c>
      <c r="AJ22" s="31">
        <f t="shared" si="16"/>
        <v>4364396.2458832301</v>
      </c>
      <c r="AK22" s="31">
        <f t="shared" si="17"/>
        <v>632277.65236897161</v>
      </c>
      <c r="AL22" s="30">
        <f t="shared" si="18"/>
        <v>3305857.3686905708</v>
      </c>
      <c r="AM22" s="31">
        <f t="shared" si="19"/>
        <v>616825.06650957046</v>
      </c>
      <c r="AN22" s="31">
        <f t="shared" si="20"/>
        <v>616825.06650957046</v>
      </c>
      <c r="AO22" s="30">
        <f t="shared" si="21"/>
        <v>1135295.1009208052</v>
      </c>
      <c r="AP22" s="30">
        <v>0</v>
      </c>
      <c r="AQ22" s="32">
        <f t="shared" si="5"/>
        <v>37936380.157455623</v>
      </c>
      <c r="AR22" s="31">
        <f t="shared" si="22"/>
        <v>410099.04272430099</v>
      </c>
      <c r="AS22" s="31">
        <f t="shared" si="23"/>
        <v>386798.14416522876</v>
      </c>
      <c r="AT22" s="31">
        <f t="shared" si="24"/>
        <v>796897.18688952969</v>
      </c>
      <c r="AU22" s="33">
        <f t="shared" si="6"/>
        <v>212696966.42620885</v>
      </c>
    </row>
    <row r="23" spans="1:47" ht="15" customHeight="1" thickBot="1" x14ac:dyDescent="0.25">
      <c r="A23" s="41" t="s">
        <v>72</v>
      </c>
      <c r="B23" s="35">
        <v>19</v>
      </c>
      <c r="C23" s="37">
        <v>1</v>
      </c>
      <c r="D23" s="66">
        <v>7863293</v>
      </c>
      <c r="E23" s="30">
        <f t="shared" si="1"/>
        <v>94359516</v>
      </c>
      <c r="F23" s="30">
        <v>0</v>
      </c>
      <c r="G23" s="30">
        <f t="shared" si="25"/>
        <v>47179758</v>
      </c>
      <c r="H23" s="30">
        <f t="shared" si="7"/>
        <v>0</v>
      </c>
      <c r="I23" s="30">
        <f t="shared" si="8"/>
        <v>0</v>
      </c>
      <c r="J23" s="30">
        <f t="shared" si="26"/>
        <v>3945980.6278645829</v>
      </c>
      <c r="K23" s="30">
        <f t="shared" si="9"/>
        <v>4128228.8249999997</v>
      </c>
      <c r="L23" s="30">
        <v>0</v>
      </c>
      <c r="M23" s="30">
        <f>+(((D23+(F23/12)+(G23/12))+J23/12+K23/12+N23/12))</f>
        <v>13015316.99921694</v>
      </c>
      <c r="N23" s="30">
        <f t="shared" si="27"/>
        <v>6570320.5377387153</v>
      </c>
      <c r="O23" s="30"/>
      <c r="P23" s="30">
        <f t="shared" si="11"/>
        <v>169199120.98982021</v>
      </c>
      <c r="Q23" s="30"/>
      <c r="R23" s="30"/>
      <c r="S23" s="30"/>
      <c r="T23" s="30"/>
      <c r="U23" s="30">
        <f t="shared" si="2"/>
        <v>0</v>
      </c>
      <c r="V23" s="30">
        <f t="shared" si="12"/>
        <v>169199120.98982021</v>
      </c>
      <c r="W23" s="30">
        <f t="shared" si="13"/>
        <v>5037245.7455996824</v>
      </c>
      <c r="X23" s="30">
        <v>0</v>
      </c>
      <c r="Y23" s="30">
        <f t="shared" si="31"/>
        <v>524219.53333333333</v>
      </c>
      <c r="Z23" s="30">
        <f t="shared" si="3"/>
        <v>5561465.2789330157</v>
      </c>
      <c r="AA23" s="30"/>
      <c r="AB23" s="30"/>
      <c r="AC23" s="30"/>
      <c r="AD23" s="30"/>
      <c r="AE23" s="30">
        <f t="shared" si="4"/>
        <v>0</v>
      </c>
      <c r="AF23" s="30">
        <f t="shared" si="14"/>
        <v>5561465.2789330157</v>
      </c>
      <c r="AG23" s="30">
        <f t="shared" si="28"/>
        <v>11323141.919999998</v>
      </c>
      <c r="AH23" s="30">
        <f t="shared" si="29"/>
        <v>8049800.4808437498</v>
      </c>
      <c r="AI23" s="30">
        <f t="shared" si="30"/>
        <v>7891961.2557291659</v>
      </c>
      <c r="AJ23" s="31">
        <f t="shared" si="16"/>
        <v>4364396.2458832301</v>
      </c>
      <c r="AK23" s="31">
        <f t="shared" si="17"/>
        <v>632277.65236897161</v>
      </c>
      <c r="AL23" s="30">
        <f t="shared" si="18"/>
        <v>3305857.3686905708</v>
      </c>
      <c r="AM23" s="31">
        <f t="shared" si="19"/>
        <v>616825.06650957046</v>
      </c>
      <c r="AN23" s="31">
        <f t="shared" si="20"/>
        <v>616825.06650957046</v>
      </c>
      <c r="AO23" s="30">
        <f t="shared" si="21"/>
        <v>1135295.1009208052</v>
      </c>
      <c r="AP23" s="30">
        <v>0</v>
      </c>
      <c r="AQ23" s="32">
        <f t="shared" si="5"/>
        <v>37936380.157455623</v>
      </c>
      <c r="AR23" s="31">
        <f t="shared" si="22"/>
        <v>410099.04272430099</v>
      </c>
      <c r="AS23" s="31">
        <f t="shared" si="23"/>
        <v>386798.14416522876</v>
      </c>
      <c r="AT23" s="31">
        <f t="shared" si="24"/>
        <v>796897.18688952969</v>
      </c>
      <c r="AU23" s="33">
        <f t="shared" si="6"/>
        <v>212696966.42620885</v>
      </c>
    </row>
    <row r="24" spans="1:47" ht="15" customHeight="1" thickTop="1" thickBot="1" x14ac:dyDescent="0.25">
      <c r="A24" s="27" t="s">
        <v>73</v>
      </c>
      <c r="B24" s="39"/>
      <c r="C24" s="64">
        <f t="shared" ref="C24:AU24" si="32">SUM(C25:C28)</f>
        <v>39</v>
      </c>
      <c r="D24" s="61">
        <f t="shared" si="32"/>
        <v>30554763</v>
      </c>
      <c r="E24" s="61">
        <f t="shared" si="32"/>
        <v>3163544244</v>
      </c>
      <c r="F24" s="61">
        <f t="shared" si="32"/>
        <v>0</v>
      </c>
      <c r="G24" s="61">
        <f t="shared" si="32"/>
        <v>1053395976</v>
      </c>
      <c r="H24" s="61">
        <f t="shared" si="32"/>
        <v>0</v>
      </c>
      <c r="I24" s="61">
        <f t="shared" si="32"/>
        <v>0</v>
      </c>
      <c r="J24" s="61">
        <f t="shared" si="32"/>
        <v>134001697.99236111</v>
      </c>
      <c r="K24" s="61">
        <f t="shared" si="32"/>
        <v>629958093.79999995</v>
      </c>
      <c r="L24" s="61">
        <f t="shared" si="32"/>
        <v>0</v>
      </c>
      <c r="M24" s="61">
        <f t="shared" si="32"/>
        <v>527293451.61287373</v>
      </c>
      <c r="N24" s="61">
        <f t="shared" si="32"/>
        <v>2302391311.5621238</v>
      </c>
      <c r="O24" s="61">
        <f t="shared" si="32"/>
        <v>0</v>
      </c>
      <c r="P24" s="61">
        <f t="shared" si="32"/>
        <v>7810584774.9673586</v>
      </c>
      <c r="Q24" s="61">
        <f t="shared" si="32"/>
        <v>0</v>
      </c>
      <c r="R24" s="61">
        <f t="shared" si="32"/>
        <v>0</v>
      </c>
      <c r="S24" s="61">
        <f t="shared" si="32"/>
        <v>0</v>
      </c>
      <c r="T24" s="61">
        <f t="shared" si="32"/>
        <v>0</v>
      </c>
      <c r="U24" s="61">
        <f t="shared" si="32"/>
        <v>0</v>
      </c>
      <c r="V24" s="61">
        <f t="shared" si="32"/>
        <v>7810584774.9673586</v>
      </c>
      <c r="W24" s="61">
        <f t="shared" si="32"/>
        <v>1765166672.197628</v>
      </c>
      <c r="X24" s="61">
        <f t="shared" si="32"/>
        <v>20000000</v>
      </c>
      <c r="Y24" s="61">
        <f t="shared" si="32"/>
        <v>17575245.799999997</v>
      </c>
      <c r="Z24" s="61">
        <f t="shared" si="32"/>
        <v>1802741917.9976282</v>
      </c>
      <c r="AA24" s="61">
        <f t="shared" si="32"/>
        <v>0</v>
      </c>
      <c r="AB24" s="61">
        <f t="shared" si="32"/>
        <v>0</v>
      </c>
      <c r="AC24" s="61">
        <f t="shared" si="32"/>
        <v>0</v>
      </c>
      <c r="AD24" s="61">
        <f t="shared" si="32"/>
        <v>0</v>
      </c>
      <c r="AE24" s="61">
        <f t="shared" si="32"/>
        <v>0</v>
      </c>
      <c r="AF24" s="61">
        <f t="shared" si="32"/>
        <v>11507986.322155669</v>
      </c>
      <c r="AG24" s="61">
        <f t="shared" si="32"/>
        <v>379625309.28000003</v>
      </c>
      <c r="AH24" s="61">
        <f t="shared" si="32"/>
        <v>273363463.90441668</v>
      </c>
      <c r="AI24" s="61">
        <f t="shared" si="32"/>
        <v>268003395.98472223</v>
      </c>
      <c r="AJ24" s="61">
        <f t="shared" si="32"/>
        <v>146322927.53810966</v>
      </c>
      <c r="AK24" s="61">
        <f t="shared" si="32"/>
        <v>21198056.248632021</v>
      </c>
      <c r="AL24" s="61">
        <f t="shared" si="32"/>
        <v>110833824.64791408</v>
      </c>
      <c r="AM24" s="61">
        <f t="shared" si="32"/>
        <v>20679985.14014494</v>
      </c>
      <c r="AN24" s="61">
        <f t="shared" si="32"/>
        <v>20679985.14014494</v>
      </c>
      <c r="AO24" s="61">
        <f t="shared" si="32"/>
        <v>38062470.368748106</v>
      </c>
      <c r="AP24" s="61">
        <f t="shared" si="32"/>
        <v>0</v>
      </c>
      <c r="AQ24" s="62">
        <f t="shared" si="32"/>
        <v>1278769418.2528329</v>
      </c>
      <c r="AR24" s="61">
        <f t="shared" si="32"/>
        <v>13749185.255256847</v>
      </c>
      <c r="AS24" s="61">
        <f t="shared" si="32"/>
        <v>12967987.696797762</v>
      </c>
      <c r="AT24" s="63">
        <f t="shared" si="32"/>
        <v>26717172.952054612</v>
      </c>
      <c r="AU24" s="62">
        <f t="shared" si="32"/>
        <v>9100862179.542347</v>
      </c>
    </row>
    <row r="25" spans="1:47" ht="15" customHeight="1" thickTop="1" x14ac:dyDescent="0.2">
      <c r="A25" s="41" t="s">
        <v>74</v>
      </c>
      <c r="B25" s="35">
        <v>13</v>
      </c>
      <c r="C25" s="29">
        <v>1</v>
      </c>
      <c r="D25" s="40">
        <v>8135506</v>
      </c>
      <c r="E25" s="30">
        <f t="shared" ref="E25:E28" si="33">D25*C25*12</f>
        <v>97626072</v>
      </c>
      <c r="F25" s="30">
        <v>0</v>
      </c>
      <c r="G25" s="30">
        <f t="shared" si="25"/>
        <v>48813036</v>
      </c>
      <c r="H25" s="30">
        <f t="shared" si="7"/>
        <v>0</v>
      </c>
      <c r="I25" s="30">
        <f t="shared" si="8"/>
        <v>0</v>
      </c>
      <c r="J25" s="30">
        <f t="shared" ref="J25:J26" si="34">+(E25+H25+I25+(K25/12))/24</f>
        <v>4082583.3494791668</v>
      </c>
      <c r="K25" s="30">
        <f t="shared" si="9"/>
        <v>4271140.6499999994</v>
      </c>
      <c r="L25" s="30">
        <v>0</v>
      </c>
      <c r="M25" s="30">
        <f>+(((D25+(F25/12)+(G25/12))+J25/12+K25/12+N25/12))</f>
        <v>13465883.763841867</v>
      </c>
      <c r="N25" s="30">
        <f t="shared" ref="N25:N26" si="35">+(((D25+(F25/12)+(G25/12))/2+J25/12+K25/12)*C25)</f>
        <v>6797773.1666232636</v>
      </c>
      <c r="O25" s="30"/>
      <c r="P25" s="30">
        <f t="shared" ref="P25:P26" si="36">SUM(E25:O25)</f>
        <v>175056488.92994431</v>
      </c>
      <c r="Q25" s="30"/>
      <c r="R25" s="30"/>
      <c r="S25" s="30"/>
      <c r="T25" s="30"/>
      <c r="U25" s="30">
        <f t="shared" ref="U25:U26" si="37">SUM(Q25:T25)</f>
        <v>0</v>
      </c>
      <c r="V25" s="30">
        <f t="shared" ref="V25:V28" si="38">P25+U25</f>
        <v>175056488.92994431</v>
      </c>
      <c r="W25" s="30">
        <f t="shared" ref="W25:W26" si="39">+(((D25+(F25/12)+(G25/12))/2+(J25/12)+(K25/12))*23/30)*C25</f>
        <v>5211626.0944111682</v>
      </c>
      <c r="X25" s="30">
        <v>0</v>
      </c>
      <c r="Y25" s="30">
        <f t="shared" ref="Y25:Y26" si="40">+(((D25)/30)*2)*C25</f>
        <v>542367.06666666665</v>
      </c>
      <c r="Z25" s="30">
        <f t="shared" ref="Z25:Z26" si="41">SUM(W25:Y25)</f>
        <v>5753993.1610778347</v>
      </c>
      <c r="AA25" s="30"/>
      <c r="AB25" s="30"/>
      <c r="AC25" s="30"/>
      <c r="AD25" s="30"/>
      <c r="AE25" s="30">
        <f t="shared" ref="AE25:AE26" si="42">SUM(AA25:AD25)</f>
        <v>0</v>
      </c>
      <c r="AF25" s="30">
        <f t="shared" ref="AF25:AF26" si="43">Z25+AE25</f>
        <v>5753993.1610778347</v>
      </c>
      <c r="AG25" s="30">
        <f t="shared" ref="AG25:AG26" si="44">+(((D25+H25/12)*12%)*12)*C25</f>
        <v>11715128.640000001</v>
      </c>
      <c r="AH25" s="30">
        <f t="shared" ref="AH25:AH26" si="45">+(E25+H25+I25+K25/12)*0.085</f>
        <v>8328470.0329375006</v>
      </c>
      <c r="AI25" s="30">
        <f t="shared" ref="AI25:AI26" si="46">(E25+H25+I25+K25/12)/12</f>
        <v>8165166.6989583336</v>
      </c>
      <c r="AJ25" s="31">
        <f t="shared" ref="AJ25:AJ26" si="47">+((D25*0.0462528468870403)*C25)*12</f>
        <v>4515483.7603991721</v>
      </c>
      <c r="AK25" s="31">
        <f t="shared" ref="AK25:AK26" si="48">+((D25*0.00670073013482786)*C25)*12</f>
        <v>654165.96259527444</v>
      </c>
      <c r="AL25" s="30">
        <f t="shared" ref="AL25:AL26" si="49">+(((D25*0.0350347003548701)*C25)*12)</f>
        <v>3420300.179342974</v>
      </c>
      <c r="AM25" s="31">
        <f t="shared" ref="AM25:AM26" si="50">+(((D25*0.00653696725733068)*C25)*12)</f>
        <v>638178.43612580746</v>
      </c>
      <c r="AN25" s="31">
        <f t="shared" ref="AN25:AN26" si="51">+(((D25*0.00653696725733068)*C25)*12)</f>
        <v>638178.43612580746</v>
      </c>
      <c r="AO25" s="30">
        <f t="shared" ref="AO25:AO26" si="52">+(((D25*0.0120315909729847)*C25)*12)</f>
        <v>1174596.9666031543</v>
      </c>
      <c r="AP25" s="30">
        <v>0</v>
      </c>
      <c r="AQ25" s="32">
        <f t="shared" ref="AQ25:AQ26" si="53">SUM(AG25:AP25)</f>
        <v>39249669.113088019</v>
      </c>
      <c r="AR25" s="31">
        <f t="shared" ref="AR25:AR26" si="54">+(((D25*0.00434613338546905)*C25)*12)</f>
        <v>424295.93081140518</v>
      </c>
      <c r="AS25" s="31">
        <f t="shared" ref="AS25:AS26" si="55">+((D25*0.00409919593234485)*C25)*12</f>
        <v>400188.39723320544</v>
      </c>
      <c r="AT25" s="31">
        <f t="shared" ref="AT25:AT26" si="56">SUM(AR25:AS25)</f>
        <v>824484.32804461056</v>
      </c>
      <c r="AU25" s="33">
        <f t="shared" ref="AU25:AU28" si="57">V25+AF25+AQ25</f>
        <v>220060151.20411015</v>
      </c>
    </row>
    <row r="26" spans="1:47" ht="15" customHeight="1" x14ac:dyDescent="0.2">
      <c r="A26" s="41" t="s">
        <v>75</v>
      </c>
      <c r="B26" s="35">
        <v>13</v>
      </c>
      <c r="C26" s="34">
        <v>1</v>
      </c>
      <c r="D26" s="36">
        <v>8135506</v>
      </c>
      <c r="E26" s="30">
        <f t="shared" si="33"/>
        <v>97626072</v>
      </c>
      <c r="F26" s="30">
        <v>0</v>
      </c>
      <c r="G26" s="30">
        <f t="shared" si="25"/>
        <v>48813036</v>
      </c>
      <c r="H26" s="30">
        <f t="shared" si="7"/>
        <v>0</v>
      </c>
      <c r="I26" s="30">
        <f t="shared" si="8"/>
        <v>0</v>
      </c>
      <c r="J26" s="30">
        <f t="shared" si="34"/>
        <v>4082583.3494791668</v>
      </c>
      <c r="K26" s="30">
        <f t="shared" si="9"/>
        <v>4271140.6499999994</v>
      </c>
      <c r="L26" s="30">
        <v>0</v>
      </c>
      <c r="M26" s="30">
        <f>+(((D26+(F26/12)+(G26/12))+J26/12+K26/12+N26/12))</f>
        <v>13465883.763841867</v>
      </c>
      <c r="N26" s="30">
        <f t="shared" si="35"/>
        <v>6797773.1666232636</v>
      </c>
      <c r="O26" s="30"/>
      <c r="P26" s="30">
        <f t="shared" si="36"/>
        <v>175056488.92994431</v>
      </c>
      <c r="Q26" s="30"/>
      <c r="R26" s="30"/>
      <c r="S26" s="30"/>
      <c r="T26" s="30"/>
      <c r="U26" s="30">
        <f t="shared" si="37"/>
        <v>0</v>
      </c>
      <c r="V26" s="30">
        <f t="shared" si="38"/>
        <v>175056488.92994431</v>
      </c>
      <c r="W26" s="30">
        <f t="shared" si="39"/>
        <v>5211626.0944111682</v>
      </c>
      <c r="X26" s="30">
        <v>0</v>
      </c>
      <c r="Y26" s="30">
        <f t="shared" si="40"/>
        <v>542367.06666666665</v>
      </c>
      <c r="Z26" s="30">
        <f t="shared" si="41"/>
        <v>5753993.1610778347</v>
      </c>
      <c r="AA26" s="30"/>
      <c r="AB26" s="30"/>
      <c r="AC26" s="30"/>
      <c r="AD26" s="30"/>
      <c r="AE26" s="30">
        <f t="shared" si="42"/>
        <v>0</v>
      </c>
      <c r="AF26" s="30">
        <f t="shared" si="43"/>
        <v>5753993.1610778347</v>
      </c>
      <c r="AG26" s="30">
        <f t="shared" si="44"/>
        <v>11715128.640000001</v>
      </c>
      <c r="AH26" s="30">
        <f t="shared" si="45"/>
        <v>8328470.0329375006</v>
      </c>
      <c r="AI26" s="30">
        <f t="shared" si="46"/>
        <v>8165166.6989583336</v>
      </c>
      <c r="AJ26" s="31">
        <f t="shared" si="47"/>
        <v>4515483.7603991721</v>
      </c>
      <c r="AK26" s="31">
        <f t="shared" si="48"/>
        <v>654165.96259527444</v>
      </c>
      <c r="AL26" s="30">
        <f t="shared" si="49"/>
        <v>3420300.179342974</v>
      </c>
      <c r="AM26" s="31">
        <f t="shared" si="50"/>
        <v>638178.43612580746</v>
      </c>
      <c r="AN26" s="31">
        <f t="shared" si="51"/>
        <v>638178.43612580746</v>
      </c>
      <c r="AO26" s="30">
        <f t="shared" si="52"/>
        <v>1174596.9666031543</v>
      </c>
      <c r="AP26" s="30">
        <v>0</v>
      </c>
      <c r="AQ26" s="30">
        <f t="shared" si="53"/>
        <v>39249669.113088019</v>
      </c>
      <c r="AR26" s="31">
        <f t="shared" si="54"/>
        <v>424295.93081140518</v>
      </c>
      <c r="AS26" s="31">
        <f t="shared" si="55"/>
        <v>400188.39723320544</v>
      </c>
      <c r="AT26" s="31">
        <f t="shared" si="56"/>
        <v>824484.32804461056</v>
      </c>
      <c r="AU26" s="33">
        <f t="shared" si="57"/>
        <v>220060151.20411015</v>
      </c>
    </row>
    <row r="27" spans="1:47" ht="15" customHeight="1" x14ac:dyDescent="0.2">
      <c r="A27" s="41" t="s">
        <v>76</v>
      </c>
      <c r="B27" s="35">
        <v>13</v>
      </c>
      <c r="C27" s="34">
        <v>10</v>
      </c>
      <c r="D27" s="36">
        <v>8135506</v>
      </c>
      <c r="E27" s="30">
        <f t="shared" si="33"/>
        <v>976260720</v>
      </c>
      <c r="F27" s="30">
        <v>0</v>
      </c>
      <c r="G27" s="30">
        <f>+(D27*50%)*9*12</f>
        <v>439317324</v>
      </c>
      <c r="H27" s="30">
        <f t="shared" si="7"/>
        <v>0</v>
      </c>
      <c r="I27" s="30">
        <f t="shared" si="8"/>
        <v>0</v>
      </c>
      <c r="J27" s="30">
        <f t="shared" si="26"/>
        <v>41221309.480902776</v>
      </c>
      <c r="K27" s="30">
        <f>+IF(D27&lt;1853502,(((D27+(F27/12)+(G27/12))*0.5))*C27,(((D27+(F27/12)+(G27/12))*0.35))*C27)</f>
        <v>156608490.5</v>
      </c>
      <c r="L27" s="30">
        <v>0</v>
      </c>
      <c r="M27" s="30">
        <f>+(E27/12)+J27/12+K27/12+N27/12</f>
        <v>130222925.13597126</v>
      </c>
      <c r="N27" s="30">
        <f t="shared" si="27"/>
        <v>388584581.65075231</v>
      </c>
      <c r="O27" s="30"/>
      <c r="P27" s="30">
        <f t="shared" si="11"/>
        <v>2132215350.7676263</v>
      </c>
      <c r="Q27" s="30"/>
      <c r="R27" s="30"/>
      <c r="S27" s="30"/>
      <c r="T27" s="30"/>
      <c r="U27" s="30">
        <f t="shared" ref="U27:U28" si="58">SUM(Q27:T27)</f>
        <v>0</v>
      </c>
      <c r="V27" s="30">
        <f t="shared" si="38"/>
        <v>2132215350.7676263</v>
      </c>
      <c r="W27" s="30">
        <f t="shared" si="13"/>
        <v>297914845.93224341</v>
      </c>
      <c r="X27" s="30">
        <v>20000000</v>
      </c>
      <c r="Y27" s="30">
        <f t="shared" ref="Y27:Y90" si="59">+((D27/30)*2)*C27</f>
        <v>5423670.666666666</v>
      </c>
      <c r="Z27" s="30">
        <f t="shared" ref="Z27" si="60">SUM(W27:Y27)</f>
        <v>323338516.59891009</v>
      </c>
      <c r="AA27" s="30"/>
      <c r="AB27" s="30"/>
      <c r="AC27" s="30"/>
      <c r="AD27" s="30"/>
      <c r="AE27" s="30">
        <f t="shared" ref="AE27" si="61">SUM(AA27:AD27)</f>
        <v>0</v>
      </c>
      <c r="AF27" s="30">
        <f t="shared" ref="AF27" si="62">SUM(AA27:AD27)</f>
        <v>0</v>
      </c>
      <c r="AG27" s="30">
        <f t="shared" si="28"/>
        <v>117151286.40000001</v>
      </c>
      <c r="AH27" s="30">
        <f t="shared" si="29"/>
        <v>84091471.341041669</v>
      </c>
      <c r="AI27" s="30">
        <f t="shared" si="30"/>
        <v>82442618.961805552</v>
      </c>
      <c r="AJ27" s="31">
        <f t="shared" si="16"/>
        <v>45154837.603991725</v>
      </c>
      <c r="AK27" s="31">
        <f t="shared" si="17"/>
        <v>6541659.625952743</v>
      </c>
      <c r="AL27" s="30">
        <f t="shared" si="18"/>
        <v>34203001.793429747</v>
      </c>
      <c r="AM27" s="31">
        <f t="shared" si="19"/>
        <v>6381784.3612580746</v>
      </c>
      <c r="AN27" s="31">
        <f t="shared" si="20"/>
        <v>6381784.3612580746</v>
      </c>
      <c r="AO27" s="30">
        <f t="shared" si="21"/>
        <v>11745969.666031543</v>
      </c>
      <c r="AP27" s="30">
        <v>0</v>
      </c>
      <c r="AQ27" s="32">
        <f t="shared" ref="AQ27" si="63">SUM(AG27:AP27)</f>
        <v>394094414.11476916</v>
      </c>
      <c r="AR27" s="31">
        <f t="shared" si="22"/>
        <v>4242959.3081140518</v>
      </c>
      <c r="AS27" s="31">
        <f t="shared" si="23"/>
        <v>4001883.9723320547</v>
      </c>
      <c r="AT27" s="31">
        <f t="shared" ref="AT27" si="64">SUM(AR27:AS27)</f>
        <v>8244843.2804461066</v>
      </c>
      <c r="AU27" s="33">
        <f t="shared" si="57"/>
        <v>2526309764.8823953</v>
      </c>
    </row>
    <row r="28" spans="1:47" ht="15" customHeight="1" thickBot="1" x14ac:dyDescent="0.25">
      <c r="A28" s="41" t="s">
        <v>76</v>
      </c>
      <c r="B28" s="35">
        <v>8</v>
      </c>
      <c r="C28" s="37">
        <v>27</v>
      </c>
      <c r="D28" s="38">
        <v>6148245</v>
      </c>
      <c r="E28" s="30">
        <f t="shared" si="33"/>
        <v>1992031380</v>
      </c>
      <c r="F28" s="30">
        <v>0</v>
      </c>
      <c r="G28" s="30">
        <f>+(D28*50%)*14*12</f>
        <v>516452580</v>
      </c>
      <c r="H28" s="30">
        <f t="shared" si="7"/>
        <v>0</v>
      </c>
      <c r="I28" s="30">
        <f t="shared" si="8"/>
        <v>0</v>
      </c>
      <c r="J28" s="30">
        <f t="shared" si="26"/>
        <v>84615221.8125</v>
      </c>
      <c r="K28" s="30">
        <f>+IF(D28&lt;1853502,(((D28+(F28/12)+(G28/12))*0.5))*C28,(((D28+(F28/12)+(G28/12))*0.35))*C28)</f>
        <v>464807322</v>
      </c>
      <c r="L28" s="30">
        <v>0</v>
      </c>
      <c r="M28" s="30">
        <f>+(E28/12)+J28/12+K28/12+N28/12</f>
        <v>370138758.94921875</v>
      </c>
      <c r="N28" s="30">
        <f t="shared" si="27"/>
        <v>1900211183.578125</v>
      </c>
      <c r="O28" s="30"/>
      <c r="P28" s="30">
        <f t="shared" si="11"/>
        <v>5328256446.3398438</v>
      </c>
      <c r="Q28" s="30"/>
      <c r="R28" s="30"/>
      <c r="S28" s="30"/>
      <c r="T28" s="30"/>
      <c r="U28" s="30">
        <f t="shared" si="58"/>
        <v>0</v>
      </c>
      <c r="V28" s="30">
        <f t="shared" si="38"/>
        <v>5328256446.3398438</v>
      </c>
      <c r="W28" s="30">
        <f t="shared" si="13"/>
        <v>1456828574.0765624</v>
      </c>
      <c r="X28" s="30">
        <v>0</v>
      </c>
      <c r="Y28" s="30">
        <f t="shared" si="59"/>
        <v>11066841</v>
      </c>
      <c r="Z28" s="30">
        <f t="shared" ref="Z28" si="65">SUM(W28:Y28)</f>
        <v>1467895415.0765624</v>
      </c>
      <c r="AA28" s="30"/>
      <c r="AB28" s="30"/>
      <c r="AC28" s="30"/>
      <c r="AD28" s="30"/>
      <c r="AE28" s="30">
        <f t="shared" ref="AE28" si="66">SUM(AA28:AD28)</f>
        <v>0</v>
      </c>
      <c r="AF28" s="30">
        <f t="shared" ref="AF28" si="67">SUM(AA28:AD28)</f>
        <v>0</v>
      </c>
      <c r="AG28" s="30">
        <f t="shared" si="28"/>
        <v>239043765.60000002</v>
      </c>
      <c r="AH28" s="30">
        <f t="shared" si="29"/>
        <v>172615052.4975</v>
      </c>
      <c r="AI28" s="30">
        <f t="shared" si="30"/>
        <v>169230443.625</v>
      </c>
      <c r="AJ28" s="31">
        <f t="shared" si="16"/>
        <v>92137122.413319603</v>
      </c>
      <c r="AK28" s="31">
        <f t="shared" si="17"/>
        <v>13348064.697488727</v>
      </c>
      <c r="AL28" s="30">
        <f t="shared" si="18"/>
        <v>69790222.495798379</v>
      </c>
      <c r="AM28" s="31">
        <f t="shared" si="19"/>
        <v>13021843.906635251</v>
      </c>
      <c r="AN28" s="31">
        <f t="shared" si="20"/>
        <v>13021843.906635251</v>
      </c>
      <c r="AO28" s="30">
        <f t="shared" si="21"/>
        <v>23967306.769510254</v>
      </c>
      <c r="AP28" s="30">
        <v>0</v>
      </c>
      <c r="AQ28" s="32">
        <f t="shared" ref="AQ28" si="68">SUM(AG28:AP28)</f>
        <v>806175665.91188765</v>
      </c>
      <c r="AR28" s="31">
        <f t="shared" si="22"/>
        <v>8657634.0855199844</v>
      </c>
      <c r="AS28" s="31">
        <f t="shared" si="23"/>
        <v>8165726.9299992975</v>
      </c>
      <c r="AT28" s="31">
        <f t="shared" ref="AT28" si="69">SUM(AR28:AS28)</f>
        <v>16823361.015519284</v>
      </c>
      <c r="AU28" s="33">
        <f t="shared" si="57"/>
        <v>6134432112.2517319</v>
      </c>
    </row>
    <row r="29" spans="1:47" ht="15" customHeight="1" thickTop="1" thickBot="1" x14ac:dyDescent="0.25">
      <c r="A29" s="27" t="s">
        <v>77</v>
      </c>
      <c r="B29" s="39"/>
      <c r="C29" s="64">
        <f t="shared" ref="C29:AU29" si="70">SUM(C30:C51)</f>
        <v>1017</v>
      </c>
      <c r="D29" s="61">
        <f t="shared" si="70"/>
        <v>90581529</v>
      </c>
      <c r="E29" s="61">
        <f t="shared" si="70"/>
        <v>46183882260</v>
      </c>
      <c r="F29" s="61">
        <f t="shared" si="70"/>
        <v>0</v>
      </c>
      <c r="G29" s="61">
        <f>SUM(G30:G51)</f>
        <v>0</v>
      </c>
      <c r="H29" s="61">
        <f t="shared" si="70"/>
        <v>0</v>
      </c>
      <c r="I29" s="61">
        <f t="shared" si="70"/>
        <v>0</v>
      </c>
      <c r="J29" s="61">
        <f t="shared" si="70"/>
        <v>1929005614.6501737</v>
      </c>
      <c r="K29" s="61">
        <f t="shared" si="70"/>
        <v>1347029899.2500002</v>
      </c>
      <c r="L29" s="61">
        <f t="shared" si="70"/>
        <v>0</v>
      </c>
      <c r="M29" s="61">
        <f t="shared" si="70"/>
        <v>4282939124.0242133</v>
      </c>
      <c r="N29" s="61">
        <f t="shared" si="70"/>
        <v>1935351714.3903804</v>
      </c>
      <c r="O29" s="61">
        <f t="shared" si="70"/>
        <v>0</v>
      </c>
      <c r="P29" s="61">
        <f t="shared" si="70"/>
        <v>55678208612.314774</v>
      </c>
      <c r="Q29" s="61">
        <f t="shared" si="70"/>
        <v>0</v>
      </c>
      <c r="R29" s="61">
        <f t="shared" si="70"/>
        <v>0</v>
      </c>
      <c r="S29" s="61">
        <f t="shared" si="70"/>
        <v>0</v>
      </c>
      <c r="T29" s="61">
        <f t="shared" si="70"/>
        <v>0</v>
      </c>
      <c r="U29" s="61">
        <f t="shared" si="70"/>
        <v>0</v>
      </c>
      <c r="V29" s="61">
        <f t="shared" si="70"/>
        <v>55678208612.314774</v>
      </c>
      <c r="W29" s="61">
        <f t="shared" si="70"/>
        <v>2886492641.25</v>
      </c>
      <c r="X29" s="61">
        <f t="shared" si="70"/>
        <v>20000000</v>
      </c>
      <c r="Y29" s="61">
        <f t="shared" si="70"/>
        <v>256577123.66666669</v>
      </c>
      <c r="Z29" s="61">
        <f t="shared" si="70"/>
        <v>3163069764.9166665</v>
      </c>
      <c r="AA29" s="61">
        <f t="shared" si="70"/>
        <v>0</v>
      </c>
      <c r="AB29" s="61">
        <f t="shared" si="70"/>
        <v>0</v>
      </c>
      <c r="AC29" s="61">
        <f t="shared" si="70"/>
        <v>0</v>
      </c>
      <c r="AD29" s="61">
        <f t="shared" si="70"/>
        <v>0</v>
      </c>
      <c r="AE29" s="61">
        <f t="shared" si="70"/>
        <v>0</v>
      </c>
      <c r="AF29" s="61">
        <f t="shared" si="70"/>
        <v>3163069764.9166665</v>
      </c>
      <c r="AG29" s="61">
        <f t="shared" si="70"/>
        <v>5542065871.1999998</v>
      </c>
      <c r="AH29" s="61">
        <f t="shared" si="70"/>
        <v>3935171453.886354</v>
      </c>
      <c r="AI29" s="61">
        <f t="shared" si="70"/>
        <v>3858011229.3003473</v>
      </c>
      <c r="AJ29" s="61">
        <f t="shared" si="70"/>
        <v>2136136034.8208771</v>
      </c>
      <c r="AK29" s="61">
        <f t="shared" si="70"/>
        <v>309465731.60292369</v>
      </c>
      <c r="AL29" s="61">
        <f t="shared" si="70"/>
        <v>1618038476.2037008</v>
      </c>
      <c r="AM29" s="61">
        <f t="shared" si="70"/>
        <v>301902526.15003514</v>
      </c>
      <c r="AN29" s="61">
        <f t="shared" si="70"/>
        <v>301902526.15003514</v>
      </c>
      <c r="AO29" s="61">
        <f t="shared" si="70"/>
        <v>555665580.89680433</v>
      </c>
      <c r="AP29" s="61">
        <f t="shared" si="70"/>
        <v>0</v>
      </c>
      <c r="AQ29" s="62">
        <f t="shared" si="70"/>
        <v>18558359430.211075</v>
      </c>
      <c r="AR29" s="61">
        <f t="shared" si="70"/>
        <v>200721312.56075782</v>
      </c>
      <c r="AS29" s="61">
        <f t="shared" si="70"/>
        <v>189316782.30008546</v>
      </c>
      <c r="AT29" s="63">
        <f t="shared" si="70"/>
        <v>390038094.86084318</v>
      </c>
      <c r="AU29" s="62">
        <f t="shared" si="70"/>
        <v>77399637807.442505</v>
      </c>
    </row>
    <row r="30" spans="1:47" ht="15" customHeight="1" thickTop="1" x14ac:dyDescent="0.2">
      <c r="A30" s="41" t="s">
        <v>78</v>
      </c>
      <c r="B30" s="78" t="s">
        <v>105</v>
      </c>
      <c r="C30" s="35">
        <v>2</v>
      </c>
      <c r="D30" s="30">
        <v>1947688</v>
      </c>
      <c r="E30" s="30">
        <f t="shared" ref="E30:E51" si="71">D30*C30*12</f>
        <v>46744512</v>
      </c>
      <c r="F30" s="30">
        <v>0</v>
      </c>
      <c r="G30" s="30">
        <v>0</v>
      </c>
      <c r="H30" s="30">
        <f t="shared" si="7"/>
        <v>0</v>
      </c>
      <c r="I30" s="30">
        <f t="shared" si="8"/>
        <v>0</v>
      </c>
      <c r="J30" s="30">
        <f t="shared" si="26"/>
        <v>1952421.9638888889</v>
      </c>
      <c r="K30" s="30">
        <f>+IF(D30&lt;1853502,(((D30+(F30/12)+(G30/12))*0.5))*C30,(((D30+(F30/12)+(G30/12))*0.35))*C30)</f>
        <v>1363381.5999999999</v>
      </c>
      <c r="L30" s="30">
        <v>0</v>
      </c>
      <c r="M30" s="30">
        <f>+(E30/12)+J30/12+K30/12+N30/12</f>
        <v>4313782.1696688533</v>
      </c>
      <c r="N30" s="30">
        <f>+((((D30+H30/12+I30/12+J30/12+K30/12)/2)*23)/30)*C30</f>
        <v>1705070.4721373459</v>
      </c>
      <c r="O30" s="30"/>
      <c r="P30" s="30">
        <f t="shared" si="11"/>
        <v>56079168.205695093</v>
      </c>
      <c r="Q30" s="30"/>
      <c r="R30" s="30"/>
      <c r="S30" s="30"/>
      <c r="T30" s="30"/>
      <c r="U30" s="30">
        <f t="shared" ref="U30:U51" si="72">SUM(Q30:T30)</f>
        <v>0</v>
      </c>
      <c r="V30" s="30">
        <f t="shared" ref="V30:V51" si="73">P30+U30</f>
        <v>56079168.205695093</v>
      </c>
      <c r="W30" s="30">
        <f>+(E30/360)*22.5</f>
        <v>2921532</v>
      </c>
      <c r="X30" s="30">
        <v>20000000</v>
      </c>
      <c r="Y30" s="30">
        <f>+((E30/360)*2)</f>
        <v>259691.73333333334</v>
      </c>
      <c r="Z30" s="30">
        <f t="shared" ref="Z30:Z51" si="74">SUM(W30:Y30)</f>
        <v>23181223.733333334</v>
      </c>
      <c r="AA30" s="30"/>
      <c r="AB30" s="30"/>
      <c r="AC30" s="30"/>
      <c r="AD30" s="30"/>
      <c r="AE30" s="30">
        <f t="shared" ref="AE30:AE51" si="75">SUM(AA30:AD30)</f>
        <v>0</v>
      </c>
      <c r="AF30" s="30">
        <f t="shared" ref="AF30:AF51" si="76">Z30+AE30</f>
        <v>23181223.733333334</v>
      </c>
      <c r="AG30" s="30">
        <f t="shared" si="28"/>
        <v>5609341.4399999995</v>
      </c>
      <c r="AH30" s="30">
        <f t="shared" si="29"/>
        <v>3982940.8063333337</v>
      </c>
      <c r="AI30" s="30">
        <f t="shared" si="30"/>
        <v>3904843.9277777779</v>
      </c>
      <c r="AJ30" s="31">
        <f t="shared" si="16"/>
        <v>2162066.7563454183</v>
      </c>
      <c r="AK30" s="31">
        <f t="shared" si="17"/>
        <v>313222.36019622249</v>
      </c>
      <c r="AL30" s="30">
        <f t="shared" si="18"/>
        <v>1637679.9711546297</v>
      </c>
      <c r="AM30" s="31">
        <f t="shared" si="19"/>
        <v>305567.34440390102</v>
      </c>
      <c r="AN30" s="31">
        <f t="shared" si="20"/>
        <v>305567.34440390102</v>
      </c>
      <c r="AO30" s="30">
        <f t="shared" si="21"/>
        <v>562410.84861577488</v>
      </c>
      <c r="AP30" s="30">
        <v>0</v>
      </c>
      <c r="AQ30" s="32">
        <f t="shared" ref="AQ30:AQ51" si="77">SUM(AG30:AP30)</f>
        <v>18783640.799230956</v>
      </c>
      <c r="AR30" s="31">
        <f t="shared" si="22"/>
        <v>203157.88419065866</v>
      </c>
      <c r="AS30" s="31">
        <f t="shared" si="23"/>
        <v>191614.91344984501</v>
      </c>
      <c r="AT30" s="31">
        <f t="shared" ref="AT30:AT51" si="78">SUM(AR30:AS30)</f>
        <v>394772.79764050368</v>
      </c>
      <c r="AU30" s="33">
        <f t="shared" ref="AU30:AU51" si="79">V30+AF30+AQ30</f>
        <v>98044032.738259375</v>
      </c>
    </row>
    <row r="31" spans="1:47" ht="15" customHeight="1" x14ac:dyDescent="0.2">
      <c r="A31" s="41" t="s">
        <v>78</v>
      </c>
      <c r="B31" s="78" t="s">
        <v>106</v>
      </c>
      <c r="C31" s="35">
        <v>4</v>
      </c>
      <c r="D31" s="30">
        <v>2250064</v>
      </c>
      <c r="E31" s="30">
        <f t="shared" si="71"/>
        <v>108003072</v>
      </c>
      <c r="F31" s="30">
        <v>0</v>
      </c>
      <c r="G31" s="30">
        <v>0</v>
      </c>
      <c r="H31" s="30">
        <f t="shared" si="7"/>
        <v>0</v>
      </c>
      <c r="I31" s="30">
        <f t="shared" si="8"/>
        <v>0</v>
      </c>
      <c r="J31" s="30">
        <f t="shared" si="26"/>
        <v>4511065.8111111112</v>
      </c>
      <c r="K31" s="30">
        <f t="shared" ref="K31:K53" si="80">+IF(D31&lt;1853502,(((D31+(F31/12)+(G31/12))*0.5))*C31,(((D31+(F31/12)+(G31/12))*0.35))*C31)</f>
        <v>3150089.5999999996</v>
      </c>
      <c r="L31" s="30">
        <v>0</v>
      </c>
      <c r="M31" s="30">
        <f t="shared" ref="M31:M94" si="81">+(E31/12)+J31/12+K31/12+N31/12</f>
        <v>10007770.913173869</v>
      </c>
      <c r="N31" s="30">
        <f t="shared" ref="N31" si="82">+((((D31+H31/12+I31/12+J31/12+K31/12)/2)*23)/30)*C31</f>
        <v>4429023.546975309</v>
      </c>
      <c r="O31" s="30"/>
      <c r="P31" s="30">
        <f t="shared" si="11"/>
        <v>130101021.87126029</v>
      </c>
      <c r="Q31" s="30"/>
      <c r="R31" s="30"/>
      <c r="S31" s="30"/>
      <c r="T31" s="30"/>
      <c r="U31" s="30">
        <f t="shared" si="72"/>
        <v>0</v>
      </c>
      <c r="V31" s="30">
        <f t="shared" si="73"/>
        <v>130101021.87126029</v>
      </c>
      <c r="W31" s="30">
        <f t="shared" ref="W31:W51" si="83">+(E31/360)*22.5</f>
        <v>6750192</v>
      </c>
      <c r="X31" s="30">
        <v>0</v>
      </c>
      <c r="Y31" s="30">
        <f t="shared" ref="Y31:Y51" si="84">+((E31/360)*2)</f>
        <v>600017.06666666665</v>
      </c>
      <c r="Z31" s="30">
        <f t="shared" si="74"/>
        <v>7350209.0666666664</v>
      </c>
      <c r="AA31" s="30"/>
      <c r="AB31" s="30"/>
      <c r="AC31" s="30"/>
      <c r="AD31" s="30"/>
      <c r="AE31" s="30">
        <f t="shared" si="75"/>
        <v>0</v>
      </c>
      <c r="AF31" s="30">
        <f t="shared" si="76"/>
        <v>7350209.0666666664</v>
      </c>
      <c r="AG31" s="30">
        <f t="shared" si="28"/>
        <v>12960368.640000001</v>
      </c>
      <c r="AH31" s="30">
        <f t="shared" si="29"/>
        <v>9202574.2546666674</v>
      </c>
      <c r="AI31" s="30">
        <f t="shared" si="30"/>
        <v>9022131.6222222224</v>
      </c>
      <c r="AJ31" s="31">
        <f t="shared" si="16"/>
        <v>4995449.5525459889</v>
      </c>
      <c r="AK31" s="31">
        <f t="shared" si="17"/>
        <v>723699.43920438318</v>
      </c>
      <c r="AL31" s="30">
        <f t="shared" si="18"/>
        <v>3783855.2649254613</v>
      </c>
      <c r="AM31" s="31">
        <f t="shared" si="19"/>
        <v>706012.54535512789</v>
      </c>
      <c r="AN31" s="31">
        <f t="shared" si="20"/>
        <v>706012.54535512789</v>
      </c>
      <c r="AO31" s="30">
        <f t="shared" si="21"/>
        <v>1299448.7861298164</v>
      </c>
      <c r="AP31" s="30">
        <v>0</v>
      </c>
      <c r="AQ31" s="32">
        <f t="shared" si="77"/>
        <v>43399552.650404796</v>
      </c>
      <c r="AR31" s="31">
        <f t="shared" si="22"/>
        <v>469395.75695241761</v>
      </c>
      <c r="AS31" s="31">
        <f t="shared" si="23"/>
        <v>442725.75342314795</v>
      </c>
      <c r="AT31" s="31">
        <f t="shared" si="78"/>
        <v>912121.51037556562</v>
      </c>
      <c r="AU31" s="33">
        <f t="shared" si="79"/>
        <v>180850783.58833176</v>
      </c>
    </row>
    <row r="32" spans="1:47" ht="15" customHeight="1" x14ac:dyDescent="0.2">
      <c r="A32" s="41" t="s">
        <v>78</v>
      </c>
      <c r="B32" s="78" t="s">
        <v>107</v>
      </c>
      <c r="C32" s="35">
        <v>55</v>
      </c>
      <c r="D32" s="30">
        <v>2369272</v>
      </c>
      <c r="E32" s="30">
        <f t="shared" si="71"/>
        <v>1563719520</v>
      </c>
      <c r="F32" s="30">
        <v>0</v>
      </c>
      <c r="G32" s="30">
        <v>0</v>
      </c>
      <c r="H32" s="30">
        <f t="shared" si="7"/>
        <v>0</v>
      </c>
      <c r="I32" s="30">
        <f t="shared" si="8"/>
        <v>0</v>
      </c>
      <c r="J32" s="30">
        <f t="shared" si="26"/>
        <v>65313342.798611112</v>
      </c>
      <c r="K32" s="30">
        <f t="shared" si="80"/>
        <v>45608486</v>
      </c>
      <c r="L32" s="30">
        <v>0</v>
      </c>
      <c r="M32" s="30">
        <f t="shared" si="81"/>
        <v>145015122.83645794</v>
      </c>
      <c r="N32" s="30">
        <f>+(E32+H32+I32+J32/12+K32/12)/24</f>
        <v>65540125.238884069</v>
      </c>
      <c r="O32" s="30"/>
      <c r="P32" s="30">
        <f t="shared" si="11"/>
        <v>1885196596.8739531</v>
      </c>
      <c r="Q32" s="30"/>
      <c r="R32" s="30"/>
      <c r="S32" s="30"/>
      <c r="T32" s="30"/>
      <c r="U32" s="30">
        <f t="shared" si="72"/>
        <v>0</v>
      </c>
      <c r="V32" s="30">
        <f t="shared" si="73"/>
        <v>1885196596.8739531</v>
      </c>
      <c r="W32" s="30">
        <f t="shared" si="83"/>
        <v>97732470</v>
      </c>
      <c r="X32" s="30">
        <v>0</v>
      </c>
      <c r="Y32" s="30">
        <f t="shared" si="84"/>
        <v>8687330.666666666</v>
      </c>
      <c r="Z32" s="30">
        <f t="shared" si="74"/>
        <v>106419800.66666667</v>
      </c>
      <c r="AA32" s="30"/>
      <c r="AB32" s="30"/>
      <c r="AC32" s="30"/>
      <c r="AD32" s="30"/>
      <c r="AE32" s="30">
        <f t="shared" si="75"/>
        <v>0</v>
      </c>
      <c r="AF32" s="30">
        <f t="shared" si="76"/>
        <v>106419800.66666667</v>
      </c>
      <c r="AG32" s="30">
        <f t="shared" si="28"/>
        <v>187646342.40000001</v>
      </c>
      <c r="AH32" s="30">
        <f t="shared" si="29"/>
        <v>133239219.30916668</v>
      </c>
      <c r="AI32" s="30">
        <f t="shared" si="30"/>
        <v>130626685.59722222</v>
      </c>
      <c r="AJ32" s="31">
        <f t="shared" si="16"/>
        <v>72326479.532836169</v>
      </c>
      <c r="AK32" s="31">
        <f t="shared" si="17"/>
        <v>10478062.510082558</v>
      </c>
      <c r="AL32" s="30">
        <f t="shared" si="18"/>
        <v>54784444.822261304</v>
      </c>
      <c r="AM32" s="31">
        <f t="shared" si="19"/>
        <v>10221983.301888846</v>
      </c>
      <c r="AN32" s="31">
        <f t="shared" si="20"/>
        <v>10221983.301888846</v>
      </c>
      <c r="AO32" s="30">
        <f t="shared" si="21"/>
        <v>18814033.66111197</v>
      </c>
      <c r="AP32" s="30">
        <v>0</v>
      </c>
      <c r="AQ32" s="32">
        <f t="shared" si="77"/>
        <v>628359234.43645847</v>
      </c>
      <c r="AR32" s="31">
        <f t="shared" si="22"/>
        <v>6796133.6113816388</v>
      </c>
      <c r="AS32" s="31">
        <f t="shared" si="23"/>
        <v>6409992.6957122404</v>
      </c>
      <c r="AT32" s="31">
        <f t="shared" si="78"/>
        <v>13206126.307093879</v>
      </c>
      <c r="AU32" s="33">
        <f t="shared" si="79"/>
        <v>2619975631.9770784</v>
      </c>
    </row>
    <row r="33" spans="1:47" ht="15" customHeight="1" x14ac:dyDescent="0.2">
      <c r="A33" s="41" t="s">
        <v>78</v>
      </c>
      <c r="B33" s="78" t="s">
        <v>108</v>
      </c>
      <c r="C33" s="35">
        <v>14</v>
      </c>
      <c r="D33" s="30">
        <v>2506240</v>
      </c>
      <c r="E33" s="30">
        <f t="shared" si="71"/>
        <v>421048320</v>
      </c>
      <c r="F33" s="30">
        <v>0</v>
      </c>
      <c r="G33" s="30">
        <v>0</v>
      </c>
      <c r="H33" s="30">
        <f t="shared" si="7"/>
        <v>0</v>
      </c>
      <c r="I33" s="30">
        <f t="shared" si="8"/>
        <v>0</v>
      </c>
      <c r="J33" s="30">
        <f t="shared" si="26"/>
        <v>17586320.888888888</v>
      </c>
      <c r="K33" s="30">
        <f t="shared" si="80"/>
        <v>12280576</v>
      </c>
      <c r="L33" s="30">
        <v>0</v>
      </c>
      <c r="M33" s="30">
        <f t="shared" si="81"/>
        <v>39046883.449331276</v>
      </c>
      <c r="N33" s="30">
        <f t="shared" ref="N33:N83" si="85">+(E33+H33+I33+J33/12+K33/12)/24</f>
        <v>17647384.503086418</v>
      </c>
      <c r="O33" s="30"/>
      <c r="P33" s="30">
        <f t="shared" si="11"/>
        <v>507609484.84130657</v>
      </c>
      <c r="Q33" s="30"/>
      <c r="R33" s="30"/>
      <c r="S33" s="30"/>
      <c r="T33" s="30"/>
      <c r="U33" s="30">
        <f t="shared" si="72"/>
        <v>0</v>
      </c>
      <c r="V33" s="30">
        <f t="shared" si="73"/>
        <v>507609484.84130657</v>
      </c>
      <c r="W33" s="30">
        <f t="shared" si="83"/>
        <v>26315520</v>
      </c>
      <c r="X33" s="30">
        <v>0</v>
      </c>
      <c r="Y33" s="30">
        <f t="shared" si="84"/>
        <v>2339157.3333333335</v>
      </c>
      <c r="Z33" s="30">
        <f t="shared" si="74"/>
        <v>28654677.333333332</v>
      </c>
      <c r="AA33" s="30"/>
      <c r="AB33" s="30"/>
      <c r="AC33" s="30"/>
      <c r="AD33" s="30"/>
      <c r="AE33" s="30">
        <f t="shared" si="75"/>
        <v>0</v>
      </c>
      <c r="AF33" s="30">
        <f t="shared" si="76"/>
        <v>28654677.333333332</v>
      </c>
      <c r="AG33" s="30">
        <f t="shared" si="28"/>
        <v>50525798.399999991</v>
      </c>
      <c r="AH33" s="30">
        <f t="shared" si="29"/>
        <v>35876094.613333337</v>
      </c>
      <c r="AI33" s="30">
        <f t="shared" si="30"/>
        <v>35172641.777777776</v>
      </c>
      <c r="AJ33" s="31">
        <f t="shared" si="16"/>
        <v>19474683.477005549</v>
      </c>
      <c r="AK33" s="31">
        <f t="shared" si="17"/>
        <v>2821331.1660426436</v>
      </c>
      <c r="AL33" s="30">
        <f t="shared" si="18"/>
        <v>14751301.726121459</v>
      </c>
      <c r="AM33" s="31">
        <f t="shared" si="19"/>
        <v>2752379.0815940904</v>
      </c>
      <c r="AN33" s="31">
        <f t="shared" si="20"/>
        <v>2752379.0815940904</v>
      </c>
      <c r="AO33" s="30">
        <f t="shared" si="21"/>
        <v>5065881.166102373</v>
      </c>
      <c r="AP33" s="30">
        <v>0</v>
      </c>
      <c r="AQ33" s="32">
        <f t="shared" si="77"/>
        <v>169192490.4895713</v>
      </c>
      <c r="AR33" s="31">
        <f t="shared" si="22"/>
        <v>1829932.1604476559</v>
      </c>
      <c r="AS33" s="31">
        <f t="shared" si="23"/>
        <v>1725959.5606646328</v>
      </c>
      <c r="AT33" s="31">
        <f t="shared" si="78"/>
        <v>3555891.7211122885</v>
      </c>
      <c r="AU33" s="33">
        <f t="shared" si="79"/>
        <v>705456652.66421115</v>
      </c>
    </row>
    <row r="34" spans="1:47" ht="15" customHeight="1" x14ac:dyDescent="0.2">
      <c r="A34" s="41" t="s">
        <v>78</v>
      </c>
      <c r="B34" s="78" t="s">
        <v>109</v>
      </c>
      <c r="C34" s="35">
        <v>77</v>
      </c>
      <c r="D34" s="30">
        <v>2593510</v>
      </c>
      <c r="E34" s="30">
        <f t="shared" si="71"/>
        <v>2396403240</v>
      </c>
      <c r="F34" s="30">
        <v>0</v>
      </c>
      <c r="G34" s="30">
        <v>0</v>
      </c>
      <c r="H34" s="30">
        <f t="shared" si="7"/>
        <v>0</v>
      </c>
      <c r="I34" s="30">
        <f t="shared" si="8"/>
        <v>0</v>
      </c>
      <c r="J34" s="30">
        <f t="shared" si="26"/>
        <v>100092826.30034722</v>
      </c>
      <c r="K34" s="30">
        <f t="shared" si="80"/>
        <v>69895094.5</v>
      </c>
      <c r="L34" s="30">
        <v>0</v>
      </c>
      <c r="M34" s="30">
        <f t="shared" si="81"/>
        <v>222235960.96970496</v>
      </c>
      <c r="N34" s="30">
        <f t="shared" si="85"/>
        <v>100440370.83611232</v>
      </c>
      <c r="O34" s="30"/>
      <c r="P34" s="30">
        <f t="shared" si="11"/>
        <v>2889067492.6061649</v>
      </c>
      <c r="Q34" s="30"/>
      <c r="R34" s="30"/>
      <c r="S34" s="30"/>
      <c r="T34" s="30"/>
      <c r="U34" s="30">
        <f t="shared" si="72"/>
        <v>0</v>
      </c>
      <c r="V34" s="30">
        <f t="shared" si="73"/>
        <v>2889067492.6061649</v>
      </c>
      <c r="W34" s="30">
        <f t="shared" si="83"/>
        <v>149775202.5</v>
      </c>
      <c r="X34" s="30">
        <v>0</v>
      </c>
      <c r="Y34" s="30">
        <f t="shared" si="84"/>
        <v>13313351.333333334</v>
      </c>
      <c r="Z34" s="30">
        <f t="shared" si="74"/>
        <v>163088553.83333334</v>
      </c>
      <c r="AA34" s="30"/>
      <c r="AB34" s="30"/>
      <c r="AC34" s="30"/>
      <c r="AD34" s="30"/>
      <c r="AE34" s="30">
        <f t="shared" si="75"/>
        <v>0</v>
      </c>
      <c r="AF34" s="30">
        <f t="shared" si="76"/>
        <v>163088553.83333334</v>
      </c>
      <c r="AG34" s="30">
        <f t="shared" si="28"/>
        <v>287568388.80000001</v>
      </c>
      <c r="AH34" s="30">
        <f t="shared" si="29"/>
        <v>204189365.65270835</v>
      </c>
      <c r="AI34" s="30">
        <f t="shared" si="30"/>
        <v>200185652.60069445</v>
      </c>
      <c r="AJ34" s="31">
        <f t="shared" si="16"/>
        <v>110840472.1393273</v>
      </c>
      <c r="AK34" s="31">
        <f t="shared" si="17"/>
        <v>16057651.405467123</v>
      </c>
      <c r="AL34" s="30">
        <f t="shared" si="18"/>
        <v>83957269.442839861</v>
      </c>
      <c r="AM34" s="31">
        <f t="shared" si="19"/>
        <v>15665209.515241155</v>
      </c>
      <c r="AN34" s="31">
        <f t="shared" si="20"/>
        <v>15665209.515241155</v>
      </c>
      <c r="AO34" s="30">
        <f t="shared" si="21"/>
        <v>28832543.590015288</v>
      </c>
      <c r="AP34" s="30">
        <v>0</v>
      </c>
      <c r="AQ34" s="32">
        <f t="shared" si="77"/>
        <v>962961762.66153467</v>
      </c>
      <c r="AR34" s="31">
        <f t="shared" si="22"/>
        <v>10415088.126410201</v>
      </c>
      <c r="AS34" s="31">
        <f t="shared" si="23"/>
        <v>9823326.4136660174</v>
      </c>
      <c r="AT34" s="31">
        <f t="shared" si="78"/>
        <v>20238414.540076219</v>
      </c>
      <c r="AU34" s="33">
        <f t="shared" si="79"/>
        <v>4015117809.1010332</v>
      </c>
    </row>
    <row r="35" spans="1:47" ht="15" customHeight="1" x14ac:dyDescent="0.2">
      <c r="A35" s="41" t="s">
        <v>78</v>
      </c>
      <c r="B35" s="78" t="s">
        <v>110</v>
      </c>
      <c r="C35" s="35">
        <v>30</v>
      </c>
      <c r="D35" s="30">
        <v>2721902</v>
      </c>
      <c r="E35" s="30">
        <f t="shared" si="71"/>
        <v>979884720</v>
      </c>
      <c r="F35" s="30">
        <v>0</v>
      </c>
      <c r="G35" s="30">
        <v>0</v>
      </c>
      <c r="H35" s="30">
        <f t="shared" si="7"/>
        <v>0</v>
      </c>
      <c r="I35" s="30">
        <f t="shared" si="8"/>
        <v>0</v>
      </c>
      <c r="J35" s="30">
        <f t="shared" si="26"/>
        <v>40927766.010416664</v>
      </c>
      <c r="K35" s="30">
        <f t="shared" si="80"/>
        <v>28579971</v>
      </c>
      <c r="L35" s="30">
        <v>0</v>
      </c>
      <c r="M35" s="30">
        <f t="shared" si="81"/>
        <v>90871861.109956726</v>
      </c>
      <c r="N35" s="30">
        <f t="shared" si="85"/>
        <v>41069876.309063949</v>
      </c>
      <c r="O35" s="30"/>
      <c r="P35" s="30">
        <f t="shared" si="11"/>
        <v>1181334194.4294372</v>
      </c>
      <c r="Q35" s="30"/>
      <c r="R35" s="30"/>
      <c r="S35" s="30"/>
      <c r="T35" s="30"/>
      <c r="U35" s="30">
        <f t="shared" si="72"/>
        <v>0</v>
      </c>
      <c r="V35" s="30">
        <f t="shared" si="73"/>
        <v>1181334194.4294372</v>
      </c>
      <c r="W35" s="30">
        <f t="shared" si="83"/>
        <v>61242795</v>
      </c>
      <c r="X35" s="30">
        <v>0</v>
      </c>
      <c r="Y35" s="30">
        <f t="shared" si="84"/>
        <v>5443804</v>
      </c>
      <c r="Z35" s="30">
        <f t="shared" si="74"/>
        <v>66686599</v>
      </c>
      <c r="AA35" s="30"/>
      <c r="AB35" s="30"/>
      <c r="AC35" s="30"/>
      <c r="AD35" s="30"/>
      <c r="AE35" s="30">
        <f t="shared" si="75"/>
        <v>0</v>
      </c>
      <c r="AF35" s="30">
        <f t="shared" si="76"/>
        <v>66686599</v>
      </c>
      <c r="AG35" s="30">
        <f t="shared" si="28"/>
        <v>117586166.39999999</v>
      </c>
      <c r="AH35" s="30">
        <f t="shared" si="29"/>
        <v>83492642.66125001</v>
      </c>
      <c r="AI35" s="30">
        <f t="shared" si="30"/>
        <v>81855532.020833328</v>
      </c>
      <c r="AJ35" s="31">
        <f t="shared" si="16"/>
        <v>45322457.921110362</v>
      </c>
      <c r="AK35" s="31">
        <f t="shared" si="17"/>
        <v>6565943.0719613601</v>
      </c>
      <c r="AL35" s="30">
        <f t="shared" si="18"/>
        <v>34329967.547515787</v>
      </c>
      <c r="AM35" s="31">
        <f t="shared" si="19"/>
        <v>6405474.3305986412</v>
      </c>
      <c r="AN35" s="31">
        <f t="shared" si="20"/>
        <v>6405474.3305986412</v>
      </c>
      <c r="AO35" s="30">
        <f t="shared" si="21"/>
        <v>11789572.15171764</v>
      </c>
      <c r="AP35" s="30">
        <v>0</v>
      </c>
      <c r="AQ35" s="32">
        <f t="shared" si="77"/>
        <v>393753230.43558586</v>
      </c>
      <c r="AR35" s="31">
        <f t="shared" si="22"/>
        <v>4258709.6955029918</v>
      </c>
      <c r="AS35" s="31">
        <f t="shared" si="23"/>
        <v>4016739.4583908715</v>
      </c>
      <c r="AT35" s="31">
        <f t="shared" si="78"/>
        <v>8275449.1538938638</v>
      </c>
      <c r="AU35" s="33">
        <f t="shared" si="79"/>
        <v>1641774023.8650231</v>
      </c>
    </row>
    <row r="36" spans="1:47" ht="15" customHeight="1" x14ac:dyDescent="0.2">
      <c r="A36" s="41" t="s">
        <v>78</v>
      </c>
      <c r="B36" s="78" t="s">
        <v>111</v>
      </c>
      <c r="C36" s="35">
        <v>21</v>
      </c>
      <c r="D36" s="30">
        <v>2857236</v>
      </c>
      <c r="E36" s="30">
        <f t="shared" si="71"/>
        <v>720023472</v>
      </c>
      <c r="F36" s="30">
        <v>0</v>
      </c>
      <c r="G36" s="30">
        <v>0</v>
      </c>
      <c r="H36" s="30">
        <f t="shared" si="7"/>
        <v>0</v>
      </c>
      <c r="I36" s="30">
        <f t="shared" si="8"/>
        <v>0</v>
      </c>
      <c r="J36" s="30">
        <f t="shared" si="26"/>
        <v>30073897.043749999</v>
      </c>
      <c r="K36" s="30">
        <f t="shared" si="80"/>
        <v>21000684.599999998</v>
      </c>
      <c r="L36" s="30">
        <v>0</v>
      </c>
      <c r="M36" s="30">
        <f t="shared" si="81"/>
        <v>66773031.161760338</v>
      </c>
      <c r="N36" s="30">
        <f t="shared" si="85"/>
        <v>30178320.297374129</v>
      </c>
      <c r="O36" s="30"/>
      <c r="P36" s="30">
        <f t="shared" si="11"/>
        <v>868049405.10288453</v>
      </c>
      <c r="Q36" s="30"/>
      <c r="R36" s="30"/>
      <c r="S36" s="30"/>
      <c r="T36" s="30"/>
      <c r="U36" s="30">
        <f t="shared" si="72"/>
        <v>0</v>
      </c>
      <c r="V36" s="30">
        <f t="shared" si="73"/>
        <v>868049405.10288453</v>
      </c>
      <c r="W36" s="30">
        <f t="shared" si="83"/>
        <v>45001467</v>
      </c>
      <c r="X36" s="30">
        <v>0</v>
      </c>
      <c r="Y36" s="30">
        <f t="shared" si="84"/>
        <v>4000130.4</v>
      </c>
      <c r="Z36" s="30">
        <f t="shared" si="74"/>
        <v>49001597.399999999</v>
      </c>
      <c r="AA36" s="30"/>
      <c r="AB36" s="30"/>
      <c r="AC36" s="30"/>
      <c r="AD36" s="30"/>
      <c r="AE36" s="30">
        <f t="shared" si="75"/>
        <v>0</v>
      </c>
      <c r="AF36" s="30">
        <f t="shared" si="76"/>
        <v>49001597.399999999</v>
      </c>
      <c r="AG36" s="30">
        <f t="shared" si="28"/>
        <v>86402816.640000001</v>
      </c>
      <c r="AH36" s="30">
        <f t="shared" si="29"/>
        <v>61350749.969250001</v>
      </c>
      <c r="AI36" s="30">
        <f t="shared" si="30"/>
        <v>60147794.087499999</v>
      </c>
      <c r="AJ36" s="31">
        <f t="shared" si="16"/>
        <v>33303135.405491151</v>
      </c>
      <c r="AK36" s="31">
        <f t="shared" si="17"/>
        <v>4824682.9766137833</v>
      </c>
      <c r="AL36" s="30">
        <f t="shared" si="18"/>
        <v>25225806.589993201</v>
      </c>
      <c r="AM36" s="31">
        <f t="shared" si="19"/>
        <v>4706769.8609735528</v>
      </c>
      <c r="AN36" s="31">
        <f t="shared" si="20"/>
        <v>4706769.8609735528</v>
      </c>
      <c r="AO36" s="30">
        <f t="shared" si="21"/>
        <v>8663027.9060523026</v>
      </c>
      <c r="AP36" s="30">
        <v>0</v>
      </c>
      <c r="AQ36" s="32">
        <f t="shared" si="77"/>
        <v>289331553.29684752</v>
      </c>
      <c r="AR36" s="31">
        <f t="shared" si="22"/>
        <v>3129318.0499805398</v>
      </c>
      <c r="AS36" s="31">
        <f t="shared" si="23"/>
        <v>2951517.2876152159</v>
      </c>
      <c r="AT36" s="31">
        <f t="shared" si="78"/>
        <v>6080835.3375957552</v>
      </c>
      <c r="AU36" s="33">
        <f t="shared" si="79"/>
        <v>1206382555.799732</v>
      </c>
    </row>
    <row r="37" spans="1:47" ht="15" customHeight="1" x14ac:dyDescent="0.2">
      <c r="A37" s="41" t="s">
        <v>78</v>
      </c>
      <c r="B37" s="78" t="s">
        <v>112</v>
      </c>
      <c r="C37" s="35">
        <v>90</v>
      </c>
      <c r="D37" s="30">
        <v>2980227</v>
      </c>
      <c r="E37" s="30">
        <f t="shared" si="71"/>
        <v>3218645160</v>
      </c>
      <c r="F37" s="30">
        <v>0</v>
      </c>
      <c r="G37" s="30">
        <v>0</v>
      </c>
      <c r="H37" s="30">
        <f t="shared" si="7"/>
        <v>0</v>
      </c>
      <c r="I37" s="30">
        <f t="shared" si="8"/>
        <v>0</v>
      </c>
      <c r="J37" s="30">
        <f t="shared" si="26"/>
        <v>134436177.328125</v>
      </c>
      <c r="K37" s="30">
        <f t="shared" si="80"/>
        <v>93877150.5</v>
      </c>
      <c r="L37" s="30">
        <v>0</v>
      </c>
      <c r="M37" s="30">
        <f t="shared" si="81"/>
        <v>298488454.78655326</v>
      </c>
      <c r="N37" s="30">
        <f t="shared" si="85"/>
        <v>134902969.61051431</v>
      </c>
      <c r="O37" s="30"/>
      <c r="P37" s="30">
        <f t="shared" si="11"/>
        <v>3880349912.2251925</v>
      </c>
      <c r="Q37" s="30"/>
      <c r="R37" s="30"/>
      <c r="S37" s="30"/>
      <c r="T37" s="30"/>
      <c r="U37" s="30">
        <f t="shared" si="72"/>
        <v>0</v>
      </c>
      <c r="V37" s="30">
        <f t="shared" si="73"/>
        <v>3880349912.2251925</v>
      </c>
      <c r="W37" s="30">
        <f t="shared" si="83"/>
        <v>201165322.5</v>
      </c>
      <c r="X37" s="30">
        <v>0</v>
      </c>
      <c r="Y37" s="30">
        <f t="shared" si="84"/>
        <v>17881362</v>
      </c>
      <c r="Z37" s="30">
        <f t="shared" si="74"/>
        <v>219046684.5</v>
      </c>
      <c r="AA37" s="30"/>
      <c r="AB37" s="30"/>
      <c r="AC37" s="30"/>
      <c r="AD37" s="30"/>
      <c r="AE37" s="30">
        <f t="shared" si="75"/>
        <v>0</v>
      </c>
      <c r="AF37" s="30">
        <f t="shared" si="76"/>
        <v>219046684.5</v>
      </c>
      <c r="AG37" s="30">
        <f t="shared" si="28"/>
        <v>386237419.19999999</v>
      </c>
      <c r="AH37" s="30">
        <f t="shared" si="29"/>
        <v>274249801.74937505</v>
      </c>
      <c r="AI37" s="30">
        <f t="shared" si="30"/>
        <v>268872354.65625</v>
      </c>
      <c r="AJ37" s="31">
        <f t="shared" si="16"/>
        <v>148871501.76919335</v>
      </c>
      <c r="AK37" s="31">
        <f t="shared" si="17"/>
        <v>21567272.61692984</v>
      </c>
      <c r="AL37" s="30">
        <f t="shared" si="18"/>
        <v>112764268.72925292</v>
      </c>
      <c r="AM37" s="31">
        <f t="shared" si="19"/>
        <v>21040178.023885868</v>
      </c>
      <c r="AN37" s="31">
        <f t="shared" si="20"/>
        <v>21040178.023885868</v>
      </c>
      <c r="AO37" s="30">
        <f t="shared" si="21"/>
        <v>38725422.052296892</v>
      </c>
      <c r="AP37" s="30">
        <v>0</v>
      </c>
      <c r="AQ37" s="32">
        <f t="shared" si="77"/>
        <v>1293368396.8210697</v>
      </c>
      <c r="AR37" s="31">
        <f t="shared" si="22"/>
        <v>13988661.185854372</v>
      </c>
      <c r="AS37" s="31">
        <f t="shared" si="23"/>
        <v>13193857.147533439</v>
      </c>
      <c r="AT37" s="31">
        <f t="shared" si="78"/>
        <v>27182518.333387811</v>
      </c>
      <c r="AU37" s="33">
        <f t="shared" si="79"/>
        <v>5392764993.5462627</v>
      </c>
    </row>
    <row r="38" spans="1:47" ht="15" customHeight="1" x14ac:dyDescent="0.2">
      <c r="A38" s="41" t="s">
        <v>78</v>
      </c>
      <c r="B38" s="35">
        <v>10</v>
      </c>
      <c r="C38" s="35">
        <v>99</v>
      </c>
      <c r="D38" s="30">
        <v>3081918</v>
      </c>
      <c r="E38" s="30">
        <f t="shared" si="71"/>
        <v>3661318584</v>
      </c>
      <c r="F38" s="30">
        <v>0</v>
      </c>
      <c r="G38" s="30">
        <v>0</v>
      </c>
      <c r="H38" s="30">
        <f t="shared" si="7"/>
        <v>0</v>
      </c>
      <c r="I38" s="30">
        <f t="shared" si="8"/>
        <v>0</v>
      </c>
      <c r="J38" s="30">
        <f t="shared" si="26"/>
        <v>152925734.25937501</v>
      </c>
      <c r="K38" s="30">
        <f t="shared" si="80"/>
        <v>106788458.7</v>
      </c>
      <c r="L38" s="30">
        <v>0</v>
      </c>
      <c r="M38" s="30">
        <f t="shared" si="81"/>
        <v>339540791.94596624</v>
      </c>
      <c r="N38" s="30">
        <f t="shared" si="85"/>
        <v>153456726.39222005</v>
      </c>
      <c r="O38" s="30"/>
      <c r="P38" s="30">
        <f t="shared" si="11"/>
        <v>4414030295.2975616</v>
      </c>
      <c r="Q38" s="30"/>
      <c r="R38" s="30"/>
      <c r="S38" s="30"/>
      <c r="T38" s="30"/>
      <c r="U38" s="30">
        <f t="shared" si="72"/>
        <v>0</v>
      </c>
      <c r="V38" s="30">
        <f t="shared" si="73"/>
        <v>4414030295.2975616</v>
      </c>
      <c r="W38" s="30">
        <f t="shared" si="83"/>
        <v>228832411.5</v>
      </c>
      <c r="X38" s="30">
        <v>0</v>
      </c>
      <c r="Y38" s="30">
        <f t="shared" si="84"/>
        <v>20340658.800000001</v>
      </c>
      <c r="Z38" s="30">
        <f t="shared" si="74"/>
        <v>249173070.30000001</v>
      </c>
      <c r="AA38" s="30"/>
      <c r="AB38" s="30"/>
      <c r="AC38" s="30"/>
      <c r="AD38" s="30"/>
      <c r="AE38" s="30">
        <f t="shared" si="75"/>
        <v>0</v>
      </c>
      <c r="AF38" s="30">
        <f t="shared" si="76"/>
        <v>249173070.30000001</v>
      </c>
      <c r="AG38" s="30">
        <f t="shared" si="28"/>
        <v>439358230.07999998</v>
      </c>
      <c r="AH38" s="30">
        <f t="shared" si="29"/>
        <v>311968497.88912499</v>
      </c>
      <c r="AI38" s="30">
        <f t="shared" si="30"/>
        <v>305851468.51875001</v>
      </c>
      <c r="AJ38" s="31">
        <f t="shared" si="16"/>
        <v>169346407.87042722</v>
      </c>
      <c r="AK38" s="31">
        <f t="shared" si="17"/>
        <v>24533507.769014068</v>
      </c>
      <c r="AL38" s="30">
        <f t="shared" si="18"/>
        <v>128273199.49415728</v>
      </c>
      <c r="AM38" s="31">
        <f t="shared" si="19"/>
        <v>23933919.702264328</v>
      </c>
      <c r="AN38" s="31">
        <f t="shared" si="20"/>
        <v>23933919.702264328</v>
      </c>
      <c r="AO38" s="30">
        <f t="shared" si="21"/>
        <v>44051487.624475531</v>
      </c>
      <c r="AP38" s="30">
        <v>0</v>
      </c>
      <c r="AQ38" s="32">
        <f t="shared" si="77"/>
        <v>1471250638.6504776</v>
      </c>
      <c r="AR38" s="31">
        <f t="shared" si="22"/>
        <v>15912578.932760669</v>
      </c>
      <c r="AS38" s="31">
        <f t="shared" si="23"/>
        <v>15008462.246551406</v>
      </c>
      <c r="AT38" s="31">
        <f t="shared" si="78"/>
        <v>30921041.179312073</v>
      </c>
      <c r="AU38" s="33">
        <f t="shared" si="79"/>
        <v>6134454004.2480392</v>
      </c>
    </row>
    <row r="39" spans="1:47" ht="15" customHeight="1" x14ac:dyDescent="0.2">
      <c r="A39" s="41" t="s">
        <v>78</v>
      </c>
      <c r="B39" s="35">
        <v>11</v>
      </c>
      <c r="C39" s="35">
        <v>97</v>
      </c>
      <c r="D39" s="30">
        <v>3211673</v>
      </c>
      <c r="E39" s="30">
        <f t="shared" si="71"/>
        <v>3738387372</v>
      </c>
      <c r="F39" s="30">
        <v>0</v>
      </c>
      <c r="G39" s="30">
        <v>0</v>
      </c>
      <c r="H39" s="30">
        <f t="shared" si="7"/>
        <v>0</v>
      </c>
      <c r="I39" s="30">
        <f t="shared" si="8"/>
        <v>0</v>
      </c>
      <c r="J39" s="30">
        <f t="shared" si="26"/>
        <v>156144738.75815973</v>
      </c>
      <c r="K39" s="30">
        <f t="shared" si="80"/>
        <v>109036298.34999998</v>
      </c>
      <c r="L39" s="30">
        <v>0</v>
      </c>
      <c r="M39" s="30">
        <f t="shared" si="81"/>
        <v>346687943.09150988</v>
      </c>
      <c r="N39" s="30">
        <f t="shared" si="85"/>
        <v>156686907.98995888</v>
      </c>
      <c r="O39" s="30"/>
      <c r="P39" s="30">
        <f t="shared" si="11"/>
        <v>4506943260.1896286</v>
      </c>
      <c r="Q39" s="30"/>
      <c r="R39" s="30"/>
      <c r="S39" s="30"/>
      <c r="T39" s="30"/>
      <c r="U39" s="30">
        <f t="shared" si="72"/>
        <v>0</v>
      </c>
      <c r="V39" s="30">
        <f t="shared" si="73"/>
        <v>4506943260.1896286</v>
      </c>
      <c r="W39" s="30">
        <f t="shared" si="83"/>
        <v>233649210.75</v>
      </c>
      <c r="X39" s="30">
        <v>0</v>
      </c>
      <c r="Y39" s="30">
        <f t="shared" si="84"/>
        <v>20768818.733333334</v>
      </c>
      <c r="Z39" s="30">
        <f t="shared" si="74"/>
        <v>254418029.48333335</v>
      </c>
      <c r="AA39" s="30"/>
      <c r="AB39" s="30"/>
      <c r="AC39" s="30"/>
      <c r="AD39" s="30"/>
      <c r="AE39" s="30">
        <f t="shared" si="75"/>
        <v>0</v>
      </c>
      <c r="AF39" s="30">
        <f t="shared" si="76"/>
        <v>254418029.48333335</v>
      </c>
      <c r="AG39" s="30">
        <f t="shared" si="28"/>
        <v>448606484.63999999</v>
      </c>
      <c r="AH39" s="30">
        <f t="shared" si="29"/>
        <v>318535267.06664586</v>
      </c>
      <c r="AI39" s="30">
        <f t="shared" si="30"/>
        <v>312289477.51631945</v>
      </c>
      <c r="AJ39" s="31">
        <f t="shared" si="16"/>
        <v>172911058.72156096</v>
      </c>
      <c r="AK39" s="31">
        <f t="shared" si="17"/>
        <v>25049924.919220328</v>
      </c>
      <c r="AL39" s="30">
        <f t="shared" si="18"/>
        <v>130973281.38845029</v>
      </c>
      <c r="AM39" s="31">
        <f t="shared" si="19"/>
        <v>24437715.845982488</v>
      </c>
      <c r="AN39" s="31">
        <f t="shared" si="20"/>
        <v>24437715.845982488</v>
      </c>
      <c r="AO39" s="30">
        <f t="shared" si="21"/>
        <v>44978747.758475199</v>
      </c>
      <c r="AP39" s="30">
        <v>0</v>
      </c>
      <c r="AQ39" s="32">
        <f t="shared" si="77"/>
        <v>1502219673.7026374</v>
      </c>
      <c r="AR39" s="31">
        <f t="shared" si="22"/>
        <v>16247530.165265106</v>
      </c>
      <c r="AS39" s="31">
        <f t="shared" si="23"/>
        <v>15324382.308831751</v>
      </c>
      <c r="AT39" s="31">
        <f t="shared" si="78"/>
        <v>31571912.474096857</v>
      </c>
      <c r="AU39" s="33">
        <f t="shared" si="79"/>
        <v>6263580963.3755999</v>
      </c>
    </row>
    <row r="40" spans="1:47" ht="15" customHeight="1" x14ac:dyDescent="0.2">
      <c r="A40" s="41" t="s">
        <v>79</v>
      </c>
      <c r="B40" s="35">
        <v>12</v>
      </c>
      <c r="C40" s="35">
        <v>90</v>
      </c>
      <c r="D40" s="30">
        <v>3407415</v>
      </c>
      <c r="E40" s="30">
        <f t="shared" si="71"/>
        <v>3680008200</v>
      </c>
      <c r="F40" s="30">
        <v>0</v>
      </c>
      <c r="G40" s="30">
        <v>0</v>
      </c>
      <c r="H40" s="30">
        <f t="shared" si="7"/>
        <v>0</v>
      </c>
      <c r="I40" s="30">
        <f t="shared" si="8"/>
        <v>0</v>
      </c>
      <c r="J40" s="30">
        <f t="shared" si="26"/>
        <v>153706361.015625</v>
      </c>
      <c r="K40" s="30">
        <f t="shared" si="80"/>
        <v>107333572.5</v>
      </c>
      <c r="L40" s="30">
        <v>0</v>
      </c>
      <c r="M40" s="30">
        <f t="shared" si="81"/>
        <v>341274016.43113875</v>
      </c>
      <c r="N40" s="30">
        <f t="shared" si="85"/>
        <v>154240063.65804037</v>
      </c>
      <c r="O40" s="30"/>
      <c r="P40" s="30">
        <f t="shared" si="11"/>
        <v>4436562213.604804</v>
      </c>
      <c r="Q40" s="30"/>
      <c r="R40" s="30"/>
      <c r="S40" s="30"/>
      <c r="T40" s="30"/>
      <c r="U40" s="30">
        <f t="shared" si="72"/>
        <v>0</v>
      </c>
      <c r="V40" s="30">
        <f t="shared" si="73"/>
        <v>4436562213.604804</v>
      </c>
      <c r="W40" s="30">
        <f t="shared" si="83"/>
        <v>230000512.5</v>
      </c>
      <c r="X40" s="30">
        <v>0</v>
      </c>
      <c r="Y40" s="30">
        <f t="shared" si="84"/>
        <v>20444490</v>
      </c>
      <c r="Z40" s="30">
        <f t="shared" si="74"/>
        <v>250445002.5</v>
      </c>
      <c r="AA40" s="30"/>
      <c r="AB40" s="30"/>
      <c r="AC40" s="30"/>
      <c r="AD40" s="30"/>
      <c r="AE40" s="30">
        <f t="shared" si="75"/>
        <v>0</v>
      </c>
      <c r="AF40" s="30">
        <f t="shared" si="76"/>
        <v>250445002.5</v>
      </c>
      <c r="AG40" s="30">
        <f t="shared" si="28"/>
        <v>441600983.99999994</v>
      </c>
      <c r="AH40" s="30">
        <f t="shared" si="29"/>
        <v>313560976.47187501</v>
      </c>
      <c r="AI40" s="30">
        <f t="shared" si="30"/>
        <v>307412722.03125</v>
      </c>
      <c r="AJ40" s="31">
        <f t="shared" si="16"/>
        <v>170210855.81765279</v>
      </c>
      <c r="AK40" s="31">
        <f t="shared" si="17"/>
        <v>24658741.842153631</v>
      </c>
      <c r="AL40" s="30">
        <f t="shared" si="18"/>
        <v>128927984.59046489</v>
      </c>
      <c r="AM40" s="31">
        <f t="shared" si="19"/>
        <v>24056093.110108409</v>
      </c>
      <c r="AN40" s="31">
        <f t="shared" si="20"/>
        <v>24056093.110108409</v>
      </c>
      <c r="AO40" s="30">
        <f t="shared" si="21"/>
        <v>44276353.439629674</v>
      </c>
      <c r="AP40" s="30">
        <v>0</v>
      </c>
      <c r="AQ40" s="32">
        <f t="shared" si="77"/>
        <v>1478760804.4132423</v>
      </c>
      <c r="AR40" s="31">
        <f t="shared" si="22"/>
        <v>15993806.496819865</v>
      </c>
      <c r="AS40" s="31">
        <f t="shared" si="23"/>
        <v>15085074.644435693</v>
      </c>
      <c r="AT40" s="31">
        <f t="shared" si="78"/>
        <v>31078881.141255558</v>
      </c>
      <c r="AU40" s="33">
        <f t="shared" si="79"/>
        <v>6165768020.5180464</v>
      </c>
    </row>
    <row r="41" spans="1:47" ht="15" customHeight="1" x14ac:dyDescent="0.2">
      <c r="A41" s="41" t="s">
        <v>79</v>
      </c>
      <c r="B41" s="35">
        <v>13</v>
      </c>
      <c r="C41" s="35">
        <v>53</v>
      </c>
      <c r="D41" s="30">
        <v>3691789</v>
      </c>
      <c r="E41" s="30">
        <f t="shared" si="71"/>
        <v>2347977804</v>
      </c>
      <c r="F41" s="30">
        <v>0</v>
      </c>
      <c r="G41" s="30">
        <v>0</v>
      </c>
      <c r="H41" s="30">
        <f t="shared" si="7"/>
        <v>0</v>
      </c>
      <c r="I41" s="30">
        <f t="shared" si="8"/>
        <v>0</v>
      </c>
      <c r="J41" s="30">
        <f t="shared" si="26"/>
        <v>98070195.603993058</v>
      </c>
      <c r="K41" s="30">
        <f t="shared" si="80"/>
        <v>68482685.949999988</v>
      </c>
      <c r="L41" s="30">
        <v>0</v>
      </c>
      <c r="M41" s="30">
        <f t="shared" si="81"/>
        <v>217745116.88920835</v>
      </c>
      <c r="N41" s="30">
        <f t="shared" si="85"/>
        <v>98410717.116506919</v>
      </c>
      <c r="O41" s="30"/>
      <c r="P41" s="30">
        <f t="shared" si="11"/>
        <v>2830686519.5597081</v>
      </c>
      <c r="Q41" s="30"/>
      <c r="R41" s="30"/>
      <c r="S41" s="30"/>
      <c r="T41" s="30"/>
      <c r="U41" s="30">
        <f t="shared" si="72"/>
        <v>0</v>
      </c>
      <c r="V41" s="30">
        <f t="shared" si="73"/>
        <v>2830686519.5597081</v>
      </c>
      <c r="W41" s="30">
        <f t="shared" si="83"/>
        <v>146748612.75</v>
      </c>
      <c r="X41" s="30">
        <v>0</v>
      </c>
      <c r="Y41" s="30">
        <f t="shared" si="84"/>
        <v>13044321.133333333</v>
      </c>
      <c r="Z41" s="30">
        <f t="shared" si="74"/>
        <v>159792933.88333333</v>
      </c>
      <c r="AA41" s="30"/>
      <c r="AB41" s="30"/>
      <c r="AC41" s="30"/>
      <c r="AD41" s="30"/>
      <c r="AE41" s="30">
        <f t="shared" si="75"/>
        <v>0</v>
      </c>
      <c r="AF41" s="30">
        <f t="shared" si="76"/>
        <v>159792933.88333333</v>
      </c>
      <c r="AG41" s="30">
        <f t="shared" si="28"/>
        <v>281757336.48000002</v>
      </c>
      <c r="AH41" s="30">
        <f t="shared" si="29"/>
        <v>200063199.03214586</v>
      </c>
      <c r="AI41" s="30">
        <f t="shared" si="30"/>
        <v>196140391.20798612</v>
      </c>
      <c r="AJ41" s="31">
        <f t="shared" si="16"/>
        <v>108600657.86258112</v>
      </c>
      <c r="AK41" s="31">
        <f t="shared" si="17"/>
        <v>15733165.627169743</v>
      </c>
      <c r="AL41" s="30">
        <f t="shared" si="18"/>
        <v>82260698.803025931</v>
      </c>
      <c r="AM41" s="31">
        <f t="shared" si="19"/>
        <v>15348654.025687192</v>
      </c>
      <c r="AN41" s="31">
        <f t="shared" si="20"/>
        <v>15348654.025687192</v>
      </c>
      <c r="AO41" s="30">
        <f t="shared" si="21"/>
        <v>28249908.551374838</v>
      </c>
      <c r="AP41" s="30">
        <v>0</v>
      </c>
      <c r="AQ41" s="32">
        <f t="shared" si="77"/>
        <v>943502665.61565804</v>
      </c>
      <c r="AR41" s="31">
        <f t="shared" si="22"/>
        <v>10204624.722304706</v>
      </c>
      <c r="AS41" s="31">
        <f t="shared" si="23"/>
        <v>9624821.0633927919</v>
      </c>
      <c r="AT41" s="31">
        <f t="shared" si="78"/>
        <v>19829445.785697497</v>
      </c>
      <c r="AU41" s="33">
        <f t="shared" si="79"/>
        <v>3933982119.0586996</v>
      </c>
    </row>
    <row r="42" spans="1:47" ht="15" customHeight="1" x14ac:dyDescent="0.2">
      <c r="A42" s="41" t="s">
        <v>79</v>
      </c>
      <c r="B42" s="35">
        <v>14</v>
      </c>
      <c r="C42" s="35">
        <v>21</v>
      </c>
      <c r="D42" s="30">
        <v>3950730</v>
      </c>
      <c r="E42" s="30">
        <f t="shared" si="71"/>
        <v>995583960</v>
      </c>
      <c r="F42" s="30">
        <v>0</v>
      </c>
      <c r="G42" s="30">
        <v>0</v>
      </c>
      <c r="H42" s="30">
        <f t="shared" si="7"/>
        <v>0</v>
      </c>
      <c r="I42" s="30">
        <f t="shared" si="8"/>
        <v>0</v>
      </c>
      <c r="J42" s="30">
        <f t="shared" si="26"/>
        <v>41583490.921875</v>
      </c>
      <c r="K42" s="30">
        <f t="shared" si="80"/>
        <v>29037865.5</v>
      </c>
      <c r="L42" s="30">
        <v>0</v>
      </c>
      <c r="M42" s="30">
        <f t="shared" si="81"/>
        <v>92327766.205417216</v>
      </c>
      <c r="N42" s="30">
        <f t="shared" si="85"/>
        <v>41727878.043131508</v>
      </c>
      <c r="O42" s="30"/>
      <c r="P42" s="30">
        <f t="shared" si="11"/>
        <v>1200260960.6704237</v>
      </c>
      <c r="Q42" s="30"/>
      <c r="R42" s="30"/>
      <c r="S42" s="30"/>
      <c r="T42" s="30"/>
      <c r="U42" s="30">
        <f t="shared" si="72"/>
        <v>0</v>
      </c>
      <c r="V42" s="30">
        <f t="shared" si="73"/>
        <v>1200260960.6704237</v>
      </c>
      <c r="W42" s="30">
        <f t="shared" si="83"/>
        <v>62223997.5</v>
      </c>
      <c r="X42" s="30">
        <v>0</v>
      </c>
      <c r="Y42" s="30">
        <f t="shared" si="84"/>
        <v>5531022</v>
      </c>
      <c r="Z42" s="30">
        <f t="shared" si="74"/>
        <v>67755019.5</v>
      </c>
      <c r="AA42" s="30"/>
      <c r="AB42" s="30"/>
      <c r="AC42" s="30"/>
      <c r="AD42" s="30"/>
      <c r="AE42" s="30">
        <f t="shared" si="75"/>
        <v>0</v>
      </c>
      <c r="AF42" s="30">
        <f t="shared" si="76"/>
        <v>67755019.5</v>
      </c>
      <c r="AG42" s="30">
        <f t="shared" si="28"/>
        <v>119470075.19999999</v>
      </c>
      <c r="AH42" s="30">
        <f t="shared" si="29"/>
        <v>84830321.480625004</v>
      </c>
      <c r="AI42" s="30">
        <f t="shared" si="30"/>
        <v>83166981.84375</v>
      </c>
      <c r="AJ42" s="31">
        <f t="shared" si="16"/>
        <v>46048592.465073258</v>
      </c>
      <c r="AK42" s="31">
        <f t="shared" si="17"/>
        <v>6671139.4425232541</v>
      </c>
      <c r="AL42" s="30">
        <f t="shared" si="18"/>
        <v>34879985.716714978</v>
      </c>
      <c r="AM42" s="31">
        <f t="shared" si="19"/>
        <v>6508099.7484436166</v>
      </c>
      <c r="AN42" s="31">
        <f t="shared" si="20"/>
        <v>6508099.7484436166</v>
      </c>
      <c r="AO42" s="30">
        <f t="shared" si="21"/>
        <v>11978458.985984359</v>
      </c>
      <c r="AP42" s="30">
        <v>0</v>
      </c>
      <c r="AQ42" s="32">
        <f t="shared" si="77"/>
        <v>400061754.631558</v>
      </c>
      <c r="AR42" s="31">
        <f t="shared" si="22"/>
        <v>4326940.6865934832</v>
      </c>
      <c r="AS42" s="31">
        <f t="shared" si="23"/>
        <v>4081093.7191397776</v>
      </c>
      <c r="AT42" s="31">
        <f t="shared" si="78"/>
        <v>8408034.4057332613</v>
      </c>
      <c r="AU42" s="33">
        <f t="shared" si="79"/>
        <v>1668077734.8019817</v>
      </c>
    </row>
    <row r="43" spans="1:47" ht="15" customHeight="1" x14ac:dyDescent="0.2">
      <c r="A43" s="41" t="s">
        <v>79</v>
      </c>
      <c r="B43" s="35">
        <v>15</v>
      </c>
      <c r="C43" s="35">
        <v>140</v>
      </c>
      <c r="D43" s="30">
        <v>4367944</v>
      </c>
      <c r="E43" s="30">
        <f t="shared" si="71"/>
        <v>7338145920</v>
      </c>
      <c r="F43" s="30">
        <v>0</v>
      </c>
      <c r="G43" s="30">
        <v>0</v>
      </c>
      <c r="H43" s="30">
        <f t="shared" si="7"/>
        <v>0</v>
      </c>
      <c r="I43" s="30">
        <f t="shared" si="8"/>
        <v>0</v>
      </c>
      <c r="J43" s="30">
        <f t="shared" si="26"/>
        <v>306499237.1388889</v>
      </c>
      <c r="K43" s="30">
        <f t="shared" si="80"/>
        <v>214029256</v>
      </c>
      <c r="L43" s="30">
        <v>0</v>
      </c>
      <c r="M43" s="30">
        <f t="shared" si="81"/>
        <v>680519823.64500546</v>
      </c>
      <c r="N43" s="30">
        <f t="shared" si="85"/>
        <v>307563470.60117668</v>
      </c>
      <c r="O43" s="30"/>
      <c r="P43" s="30">
        <f t="shared" si="11"/>
        <v>8846757707.3850708</v>
      </c>
      <c r="Q43" s="30"/>
      <c r="R43" s="30"/>
      <c r="S43" s="30"/>
      <c r="T43" s="30"/>
      <c r="U43" s="30">
        <f t="shared" si="72"/>
        <v>0</v>
      </c>
      <c r="V43" s="30">
        <f t="shared" si="73"/>
        <v>8846757707.3850708</v>
      </c>
      <c r="W43" s="30">
        <f t="shared" si="83"/>
        <v>458634120</v>
      </c>
      <c r="X43" s="30">
        <v>0</v>
      </c>
      <c r="Y43" s="30">
        <f t="shared" si="84"/>
        <v>40767477.333333336</v>
      </c>
      <c r="Z43" s="30">
        <f t="shared" si="74"/>
        <v>499401597.33333331</v>
      </c>
      <c r="AA43" s="30"/>
      <c r="AB43" s="30"/>
      <c r="AC43" s="30"/>
      <c r="AD43" s="30"/>
      <c r="AE43" s="30">
        <f t="shared" si="75"/>
        <v>0</v>
      </c>
      <c r="AF43" s="30">
        <f t="shared" si="76"/>
        <v>499401597.33333331</v>
      </c>
      <c r="AG43" s="30">
        <f t="shared" si="28"/>
        <v>880577510.39999986</v>
      </c>
      <c r="AH43" s="30">
        <f t="shared" si="29"/>
        <v>625258443.76333332</v>
      </c>
      <c r="AI43" s="30">
        <f t="shared" si="30"/>
        <v>612998474.27777779</v>
      </c>
      <c r="AJ43" s="31">
        <f t="shared" si="16"/>
        <v>339410139.67251945</v>
      </c>
      <c r="AK43" s="31">
        <f t="shared" si="17"/>
        <v>49170935.499908105</v>
      </c>
      <c r="AL43" s="30">
        <f t="shared" si="18"/>
        <v>257089743.46751261</v>
      </c>
      <c r="AM43" s="31">
        <f t="shared" si="19"/>
        <v>47969219.608554721</v>
      </c>
      <c r="AN43" s="31">
        <f t="shared" si="20"/>
        <v>47969219.608554721</v>
      </c>
      <c r="AO43" s="30">
        <f t="shared" si="21"/>
        <v>88289570.209516495</v>
      </c>
      <c r="AP43" s="30">
        <v>0</v>
      </c>
      <c r="AQ43" s="32">
        <f t="shared" si="77"/>
        <v>2948733256.5076771</v>
      </c>
      <c r="AR43" s="31">
        <f t="shared" si="22"/>
        <v>31892560.970355496</v>
      </c>
      <c r="AS43" s="31">
        <f t="shared" si="23"/>
        <v>30080497.906216957</v>
      </c>
      <c r="AT43" s="31">
        <f t="shared" si="78"/>
        <v>61973058.876572452</v>
      </c>
      <c r="AU43" s="33">
        <f t="shared" si="79"/>
        <v>12294892561.226082</v>
      </c>
    </row>
    <row r="44" spans="1:47" ht="15" customHeight="1" x14ac:dyDescent="0.2">
      <c r="A44" s="41" t="s">
        <v>79</v>
      </c>
      <c r="B44" s="35">
        <v>16</v>
      </c>
      <c r="C44" s="35">
        <v>36</v>
      </c>
      <c r="D44" s="30">
        <v>4709262</v>
      </c>
      <c r="E44" s="30">
        <f t="shared" si="71"/>
        <v>2034401184</v>
      </c>
      <c r="F44" s="30">
        <v>0</v>
      </c>
      <c r="G44" s="30">
        <v>0</v>
      </c>
      <c r="H44" s="30">
        <f t="shared" si="7"/>
        <v>0</v>
      </c>
      <c r="I44" s="30">
        <f t="shared" si="8"/>
        <v>0</v>
      </c>
      <c r="J44" s="30">
        <f t="shared" si="26"/>
        <v>84972746.212499991</v>
      </c>
      <c r="K44" s="30">
        <f t="shared" si="80"/>
        <v>59336701.199999996</v>
      </c>
      <c r="L44" s="30">
        <v>0</v>
      </c>
      <c r="M44" s="30">
        <f t="shared" si="81"/>
        <v>188664868.4902235</v>
      </c>
      <c r="N44" s="30">
        <f t="shared" si="85"/>
        <v>85267790.470182285</v>
      </c>
      <c r="O44" s="30"/>
      <c r="P44" s="30">
        <f t="shared" si="11"/>
        <v>2452643290.3729057</v>
      </c>
      <c r="Q44" s="30"/>
      <c r="R44" s="30"/>
      <c r="S44" s="30"/>
      <c r="T44" s="30"/>
      <c r="U44" s="30">
        <f t="shared" si="72"/>
        <v>0</v>
      </c>
      <c r="V44" s="30">
        <f t="shared" si="73"/>
        <v>2452643290.3729057</v>
      </c>
      <c r="W44" s="30">
        <f t="shared" si="83"/>
        <v>127150074.00000001</v>
      </c>
      <c r="X44" s="30">
        <v>0</v>
      </c>
      <c r="Y44" s="30">
        <f t="shared" si="84"/>
        <v>11302228.800000001</v>
      </c>
      <c r="Z44" s="30">
        <f t="shared" si="74"/>
        <v>138452302.80000001</v>
      </c>
      <c r="AA44" s="30"/>
      <c r="AB44" s="30"/>
      <c r="AC44" s="30"/>
      <c r="AD44" s="30"/>
      <c r="AE44" s="30">
        <f t="shared" si="75"/>
        <v>0</v>
      </c>
      <c r="AF44" s="30">
        <f t="shared" si="76"/>
        <v>138452302.80000001</v>
      </c>
      <c r="AG44" s="30">
        <f t="shared" si="28"/>
        <v>244128142.07999998</v>
      </c>
      <c r="AH44" s="30">
        <f t="shared" si="29"/>
        <v>173344402.2735</v>
      </c>
      <c r="AI44" s="30">
        <f t="shared" si="30"/>
        <v>169945492.42499998</v>
      </c>
      <c r="AJ44" s="31">
        <f t="shared" si="16"/>
        <v>94096846.470365494</v>
      </c>
      <c r="AK44" s="31">
        <f t="shared" si="17"/>
        <v>13631973.319958277</v>
      </c>
      <c r="AL44" s="30">
        <f t="shared" si="18"/>
        <v>71274635.883032948</v>
      </c>
      <c r="AM44" s="31">
        <f t="shared" si="19"/>
        <v>13298813.928082768</v>
      </c>
      <c r="AN44" s="31">
        <f t="shared" si="20"/>
        <v>13298813.928082768</v>
      </c>
      <c r="AO44" s="30">
        <f t="shared" si="21"/>
        <v>24477082.920843787</v>
      </c>
      <c r="AP44" s="30">
        <v>0</v>
      </c>
      <c r="AQ44" s="32">
        <f t="shared" si="77"/>
        <v>817496203.22886622</v>
      </c>
      <c r="AR44" s="31">
        <f t="shared" si="22"/>
        <v>8841778.905220164</v>
      </c>
      <c r="AS44" s="31">
        <f t="shared" si="23"/>
        <v>8339409.0582103468</v>
      </c>
      <c r="AT44" s="31">
        <f t="shared" si="78"/>
        <v>17181187.963430509</v>
      </c>
      <c r="AU44" s="33">
        <f t="shared" si="79"/>
        <v>3408591796.401772</v>
      </c>
    </row>
    <row r="45" spans="1:47" ht="15" customHeight="1" x14ac:dyDescent="0.2">
      <c r="A45" s="41" t="s">
        <v>79</v>
      </c>
      <c r="B45" s="35">
        <v>17</v>
      </c>
      <c r="C45" s="35">
        <v>60</v>
      </c>
      <c r="D45" s="30">
        <v>4953304</v>
      </c>
      <c r="E45" s="30">
        <f t="shared" si="71"/>
        <v>3566378880</v>
      </c>
      <c r="F45" s="30">
        <v>0</v>
      </c>
      <c r="G45" s="30">
        <v>0</v>
      </c>
      <c r="H45" s="30">
        <f t="shared" si="7"/>
        <v>0</v>
      </c>
      <c r="I45" s="30">
        <f t="shared" si="8"/>
        <v>0</v>
      </c>
      <c r="J45" s="30">
        <f t="shared" si="26"/>
        <v>148960298.41666666</v>
      </c>
      <c r="K45" s="30">
        <f t="shared" si="80"/>
        <v>104019384</v>
      </c>
      <c r="L45" s="30">
        <v>0</v>
      </c>
      <c r="M45" s="30">
        <f t="shared" si="81"/>
        <v>330736340.34097707</v>
      </c>
      <c r="N45" s="30">
        <f t="shared" si="85"/>
        <v>149477521.67505786</v>
      </c>
      <c r="O45" s="30"/>
      <c r="P45" s="30">
        <f t="shared" si="11"/>
        <v>4299572424.4327011</v>
      </c>
      <c r="Q45" s="30"/>
      <c r="R45" s="30"/>
      <c r="S45" s="30"/>
      <c r="T45" s="30"/>
      <c r="U45" s="30">
        <f t="shared" si="72"/>
        <v>0</v>
      </c>
      <c r="V45" s="30">
        <f t="shared" si="73"/>
        <v>4299572424.4327011</v>
      </c>
      <c r="W45" s="30">
        <f t="shared" si="83"/>
        <v>222898680</v>
      </c>
      <c r="X45" s="30">
        <v>0</v>
      </c>
      <c r="Y45" s="30">
        <f t="shared" si="84"/>
        <v>19813216</v>
      </c>
      <c r="Z45" s="30">
        <f t="shared" si="74"/>
        <v>242711896</v>
      </c>
      <c r="AA45" s="30"/>
      <c r="AB45" s="30"/>
      <c r="AC45" s="30"/>
      <c r="AD45" s="30"/>
      <c r="AE45" s="30">
        <f t="shared" si="75"/>
        <v>0</v>
      </c>
      <c r="AF45" s="30">
        <f t="shared" si="76"/>
        <v>242711896</v>
      </c>
      <c r="AG45" s="30">
        <f t="shared" si="28"/>
        <v>427965465.59999996</v>
      </c>
      <c r="AH45" s="30">
        <f t="shared" si="29"/>
        <v>303879008.77000004</v>
      </c>
      <c r="AI45" s="30">
        <f t="shared" si="30"/>
        <v>297920596.83333331</v>
      </c>
      <c r="AJ45" s="31">
        <f t="shared" si="16"/>
        <v>164955176.27781427</v>
      </c>
      <c r="AK45" s="31">
        <f t="shared" si="17"/>
        <v>23897342.433429632</v>
      </c>
      <c r="AL45" s="30">
        <f t="shared" si="18"/>
        <v>124947015.41273725</v>
      </c>
      <c r="AM45" s="31">
        <f t="shared" si="19"/>
        <v>23313301.965795662</v>
      </c>
      <c r="AN45" s="31">
        <f t="shared" si="20"/>
        <v>23313301.965795662</v>
      </c>
      <c r="AO45" s="30">
        <f t="shared" si="21"/>
        <v>42909211.938851282</v>
      </c>
      <c r="AP45" s="30">
        <v>0</v>
      </c>
      <c r="AQ45" s="32">
        <f t="shared" si="77"/>
        <v>1433100421.1977577</v>
      </c>
      <c r="AR45" s="31">
        <f t="shared" si="22"/>
        <v>15499958.315599721</v>
      </c>
      <c r="AS45" s="31">
        <f t="shared" si="23"/>
        <v>14619285.798096582</v>
      </c>
      <c r="AT45" s="31">
        <f t="shared" si="78"/>
        <v>30119244.113696303</v>
      </c>
      <c r="AU45" s="33">
        <f t="shared" si="79"/>
        <v>5975384741.6304588</v>
      </c>
    </row>
    <row r="46" spans="1:47" ht="15" customHeight="1" x14ac:dyDescent="0.2">
      <c r="A46" s="41" t="s">
        <v>79</v>
      </c>
      <c r="B46" s="35">
        <v>18</v>
      </c>
      <c r="C46" s="35">
        <v>15</v>
      </c>
      <c r="D46" s="30">
        <v>5334460</v>
      </c>
      <c r="E46" s="30">
        <f t="shared" si="71"/>
        <v>960202800</v>
      </c>
      <c r="F46" s="30">
        <v>0</v>
      </c>
      <c r="G46" s="30">
        <v>0</v>
      </c>
      <c r="H46" s="30">
        <f t="shared" si="7"/>
        <v>0</v>
      </c>
      <c r="I46" s="30">
        <f t="shared" si="8"/>
        <v>0</v>
      </c>
      <c r="J46" s="30">
        <f t="shared" si="26"/>
        <v>40105692.760416664</v>
      </c>
      <c r="K46" s="30">
        <f t="shared" si="80"/>
        <v>28005914.999999996</v>
      </c>
      <c r="L46" s="30">
        <v>0</v>
      </c>
      <c r="M46" s="30">
        <f t="shared" si="81"/>
        <v>89046613.033206135</v>
      </c>
      <c r="N46" s="30">
        <f t="shared" si="85"/>
        <v>40244948.638057001</v>
      </c>
      <c r="O46" s="30"/>
      <c r="P46" s="30">
        <f t="shared" si="11"/>
        <v>1157605969.4316797</v>
      </c>
      <c r="Q46" s="30"/>
      <c r="R46" s="30"/>
      <c r="S46" s="30"/>
      <c r="T46" s="30"/>
      <c r="U46" s="30">
        <f t="shared" si="72"/>
        <v>0</v>
      </c>
      <c r="V46" s="30">
        <f t="shared" si="73"/>
        <v>1157605969.4316797</v>
      </c>
      <c r="W46" s="30">
        <f t="shared" si="83"/>
        <v>60012675</v>
      </c>
      <c r="X46" s="30">
        <v>0</v>
      </c>
      <c r="Y46" s="30">
        <f t="shared" si="84"/>
        <v>5334460</v>
      </c>
      <c r="Z46" s="30">
        <f t="shared" si="74"/>
        <v>65347135</v>
      </c>
      <c r="AA46" s="30"/>
      <c r="AB46" s="30"/>
      <c r="AC46" s="30"/>
      <c r="AD46" s="30"/>
      <c r="AE46" s="30">
        <f t="shared" si="75"/>
        <v>0</v>
      </c>
      <c r="AF46" s="30">
        <f t="shared" si="76"/>
        <v>65347135</v>
      </c>
      <c r="AG46" s="30">
        <f t="shared" si="28"/>
        <v>115224335.99999999</v>
      </c>
      <c r="AH46" s="30">
        <f t="shared" si="29"/>
        <v>81815613.231250003</v>
      </c>
      <c r="AI46" s="30">
        <f t="shared" si="30"/>
        <v>80211385.520833328</v>
      </c>
      <c r="AJ46" s="31">
        <f t="shared" si="16"/>
        <v>44412113.088907391</v>
      </c>
      <c r="AK46" s="31">
        <f t="shared" si="17"/>
        <v>6434059.8375060894</v>
      </c>
      <c r="AL46" s="30">
        <f t="shared" si="18"/>
        <v>33640417.377907261</v>
      </c>
      <c r="AM46" s="31">
        <f t="shared" si="19"/>
        <v>6276814.2639972391</v>
      </c>
      <c r="AN46" s="31">
        <f t="shared" si="20"/>
        <v>6276814.2639972391</v>
      </c>
      <c r="AO46" s="30">
        <f t="shared" si="21"/>
        <v>11552767.340714633</v>
      </c>
      <c r="AP46" s="30">
        <v>0</v>
      </c>
      <c r="AQ46" s="32">
        <f t="shared" si="77"/>
        <v>385844320.9251132</v>
      </c>
      <c r="AR46" s="31">
        <f t="shared" si="22"/>
        <v>4173169.4459008612</v>
      </c>
      <c r="AS46" s="31">
        <f t="shared" si="23"/>
        <v>3936059.4119861349</v>
      </c>
      <c r="AT46" s="31">
        <f t="shared" si="78"/>
        <v>8109228.8578869961</v>
      </c>
      <c r="AU46" s="33">
        <f t="shared" si="79"/>
        <v>1608797425.3567929</v>
      </c>
    </row>
    <row r="47" spans="1:47" ht="15" customHeight="1" x14ac:dyDescent="0.2">
      <c r="A47" s="41" t="s">
        <v>79</v>
      </c>
      <c r="B47" s="35">
        <v>19</v>
      </c>
      <c r="C47" s="35">
        <v>44</v>
      </c>
      <c r="D47" s="30">
        <v>5738031</v>
      </c>
      <c r="E47" s="30">
        <f t="shared" si="71"/>
        <v>3029680368</v>
      </c>
      <c r="F47" s="30">
        <v>0</v>
      </c>
      <c r="G47" s="30">
        <v>0</v>
      </c>
      <c r="H47" s="30">
        <f t="shared" si="7"/>
        <v>0</v>
      </c>
      <c r="I47" s="30">
        <f t="shared" si="8"/>
        <v>0</v>
      </c>
      <c r="J47" s="30">
        <f t="shared" si="26"/>
        <v>126543507.26875</v>
      </c>
      <c r="K47" s="30">
        <f t="shared" si="80"/>
        <v>88365677.399999991</v>
      </c>
      <c r="L47" s="30">
        <v>0</v>
      </c>
      <c r="M47" s="30">
        <f t="shared" si="81"/>
        <v>280964370.5929597</v>
      </c>
      <c r="N47" s="30">
        <f t="shared" si="85"/>
        <v>126982894.44676648</v>
      </c>
      <c r="O47" s="30"/>
      <c r="P47" s="30">
        <f t="shared" si="11"/>
        <v>3652536817.7084765</v>
      </c>
      <c r="Q47" s="30"/>
      <c r="R47" s="30"/>
      <c r="S47" s="30"/>
      <c r="T47" s="30"/>
      <c r="U47" s="30">
        <f t="shared" si="72"/>
        <v>0</v>
      </c>
      <c r="V47" s="30">
        <f t="shared" si="73"/>
        <v>3652536817.7084765</v>
      </c>
      <c r="W47" s="30">
        <f t="shared" si="83"/>
        <v>189355023.00000003</v>
      </c>
      <c r="X47" s="30">
        <v>0</v>
      </c>
      <c r="Y47" s="30">
        <f t="shared" si="84"/>
        <v>16831557.600000001</v>
      </c>
      <c r="Z47" s="30">
        <f t="shared" si="74"/>
        <v>206186580.60000002</v>
      </c>
      <c r="AA47" s="30"/>
      <c r="AB47" s="30"/>
      <c r="AC47" s="30"/>
      <c r="AD47" s="30"/>
      <c r="AE47" s="30">
        <f t="shared" si="75"/>
        <v>0</v>
      </c>
      <c r="AF47" s="30">
        <f t="shared" si="76"/>
        <v>206186580.60000002</v>
      </c>
      <c r="AG47" s="30">
        <f t="shared" si="28"/>
        <v>363561644.15999997</v>
      </c>
      <c r="AH47" s="30">
        <f t="shared" si="29"/>
        <v>258148754.82824999</v>
      </c>
      <c r="AI47" s="30">
        <f t="shared" si="30"/>
        <v>253087014.53749999</v>
      </c>
      <c r="AJ47" s="31">
        <f t="shared" si="16"/>
        <v>140131342.17777592</v>
      </c>
      <c r="AK47" s="31">
        <f t="shared" si="17"/>
        <v>20301070.540753961</v>
      </c>
      <c r="AL47" s="30">
        <f t="shared" si="18"/>
        <v>106143943.86391258</v>
      </c>
      <c r="AM47" s="31">
        <f t="shared" si="19"/>
        <v>19804921.365793563</v>
      </c>
      <c r="AN47" s="31">
        <f t="shared" si="20"/>
        <v>19804921.365793563</v>
      </c>
      <c r="AO47" s="30">
        <f t="shared" si="21"/>
        <v>36451874.966657758</v>
      </c>
      <c r="AP47" s="30">
        <v>0</v>
      </c>
      <c r="AQ47" s="32">
        <f t="shared" si="77"/>
        <v>1217435487.806437</v>
      </c>
      <c r="AR47" s="31">
        <f t="shared" si="22"/>
        <v>13167394.994664956</v>
      </c>
      <c r="AS47" s="31">
        <f t="shared" si="23"/>
        <v>12419253.440810647</v>
      </c>
      <c r="AT47" s="31">
        <f t="shared" si="78"/>
        <v>25586648.435475603</v>
      </c>
      <c r="AU47" s="33">
        <f t="shared" si="79"/>
        <v>5076158886.1149139</v>
      </c>
    </row>
    <row r="48" spans="1:47" ht="15" customHeight="1" x14ac:dyDescent="0.2">
      <c r="A48" s="41" t="s">
        <v>79</v>
      </c>
      <c r="B48" s="35">
        <v>20</v>
      </c>
      <c r="C48" s="35">
        <v>20</v>
      </c>
      <c r="D48" s="30">
        <v>6176855</v>
      </c>
      <c r="E48" s="30">
        <f t="shared" si="71"/>
        <v>1482445200</v>
      </c>
      <c r="F48" s="30">
        <v>0</v>
      </c>
      <c r="G48" s="30">
        <v>0</v>
      </c>
      <c r="H48" s="30">
        <f t="shared" si="7"/>
        <v>0</v>
      </c>
      <c r="I48" s="30">
        <f t="shared" si="8"/>
        <v>0</v>
      </c>
      <c r="J48" s="30">
        <f t="shared" si="26"/>
        <v>61918681.892361112</v>
      </c>
      <c r="K48" s="30">
        <f t="shared" si="80"/>
        <v>43237985</v>
      </c>
      <c r="L48" s="30">
        <v>0</v>
      </c>
      <c r="M48" s="30">
        <f t="shared" si="81"/>
        <v>137477962.01732996</v>
      </c>
      <c r="N48" s="30">
        <f t="shared" si="85"/>
        <v>62133677.31559848</v>
      </c>
      <c r="O48" s="30"/>
      <c r="P48" s="30">
        <f t="shared" si="11"/>
        <v>1787213506.2252896</v>
      </c>
      <c r="Q48" s="30"/>
      <c r="R48" s="30"/>
      <c r="S48" s="30"/>
      <c r="T48" s="30"/>
      <c r="U48" s="30">
        <f t="shared" si="72"/>
        <v>0</v>
      </c>
      <c r="V48" s="30">
        <f t="shared" si="73"/>
        <v>1787213506.2252896</v>
      </c>
      <c r="W48" s="30">
        <f t="shared" si="83"/>
        <v>92652825</v>
      </c>
      <c r="X48" s="30">
        <v>0</v>
      </c>
      <c r="Y48" s="30">
        <f t="shared" si="84"/>
        <v>8235806.666666667</v>
      </c>
      <c r="Z48" s="30">
        <f t="shared" si="74"/>
        <v>100888631.66666667</v>
      </c>
      <c r="AA48" s="30"/>
      <c r="AB48" s="30"/>
      <c r="AC48" s="30"/>
      <c r="AD48" s="30"/>
      <c r="AE48" s="30">
        <f t="shared" si="75"/>
        <v>0</v>
      </c>
      <c r="AF48" s="30">
        <f t="shared" si="76"/>
        <v>100888631.66666667</v>
      </c>
      <c r="AG48" s="30">
        <f t="shared" si="28"/>
        <v>177893424</v>
      </c>
      <c r="AH48" s="30">
        <f t="shared" si="29"/>
        <v>126314111.06041668</v>
      </c>
      <c r="AI48" s="30">
        <f t="shared" si="30"/>
        <v>123837363.78472222</v>
      </c>
      <c r="AJ48" s="31">
        <f t="shared" si="16"/>
        <v>68567310.854027838</v>
      </c>
      <c r="AK48" s="31">
        <f t="shared" si="17"/>
        <v>9933465.2248709127</v>
      </c>
      <c r="AL48" s="30">
        <f t="shared" si="18"/>
        <v>51937023.374515481</v>
      </c>
      <c r="AM48" s="31">
        <f t="shared" si="19"/>
        <v>9690695.733187031</v>
      </c>
      <c r="AN48" s="31">
        <f t="shared" si="20"/>
        <v>9690695.733187031</v>
      </c>
      <c r="AO48" s="30">
        <f t="shared" si="21"/>
        <v>17836174.286264498</v>
      </c>
      <c r="AP48" s="30">
        <v>0</v>
      </c>
      <c r="AQ48" s="32">
        <f t="shared" si="77"/>
        <v>595700264.05119193</v>
      </c>
      <c r="AR48" s="31">
        <f t="shared" si="22"/>
        <v>6442904.5758483438</v>
      </c>
      <c r="AS48" s="31">
        <f t="shared" si="23"/>
        <v>6076833.333764147</v>
      </c>
      <c r="AT48" s="31">
        <f t="shared" si="78"/>
        <v>12519737.909612492</v>
      </c>
      <c r="AU48" s="33">
        <f t="shared" si="79"/>
        <v>2483802401.9431481</v>
      </c>
    </row>
    <row r="49" spans="1:47" ht="15" customHeight="1" x14ac:dyDescent="0.2">
      <c r="A49" s="41" t="s">
        <v>79</v>
      </c>
      <c r="B49" s="35">
        <v>21</v>
      </c>
      <c r="C49" s="35">
        <v>47</v>
      </c>
      <c r="D49" s="30">
        <v>6583507</v>
      </c>
      <c r="E49" s="30">
        <f t="shared" si="71"/>
        <v>3713097948</v>
      </c>
      <c r="F49" s="30">
        <v>0</v>
      </c>
      <c r="G49" s="30">
        <v>0</v>
      </c>
      <c r="H49" s="30">
        <f t="shared" si="7"/>
        <v>0</v>
      </c>
      <c r="I49" s="30">
        <f t="shared" si="8"/>
        <v>0</v>
      </c>
      <c r="J49" s="30">
        <f t="shared" si="26"/>
        <v>155088451.61857638</v>
      </c>
      <c r="K49" s="30">
        <f t="shared" si="80"/>
        <v>108298690.14999999</v>
      </c>
      <c r="L49" s="30">
        <v>0</v>
      </c>
      <c r="M49" s="30">
        <f t="shared" si="81"/>
        <v>344342670.2462728</v>
      </c>
      <c r="N49" s="30">
        <f t="shared" si="85"/>
        <v>155626953.18669644</v>
      </c>
      <c r="O49" s="30"/>
      <c r="P49" s="30">
        <f t="shared" si="11"/>
        <v>4476454713.2015457</v>
      </c>
      <c r="Q49" s="30"/>
      <c r="R49" s="30"/>
      <c r="S49" s="30"/>
      <c r="T49" s="30"/>
      <c r="U49" s="30">
        <f t="shared" si="72"/>
        <v>0</v>
      </c>
      <c r="V49" s="30">
        <f t="shared" si="73"/>
        <v>4476454713.2015457</v>
      </c>
      <c r="W49" s="30">
        <f t="shared" si="83"/>
        <v>232068621.75</v>
      </c>
      <c r="X49" s="30">
        <v>0</v>
      </c>
      <c r="Y49" s="30">
        <f t="shared" si="84"/>
        <v>20628321.933333334</v>
      </c>
      <c r="Z49" s="30">
        <f t="shared" si="74"/>
        <v>252696943.68333334</v>
      </c>
      <c r="AA49" s="30"/>
      <c r="AB49" s="30"/>
      <c r="AC49" s="30"/>
      <c r="AD49" s="30"/>
      <c r="AE49" s="30">
        <f t="shared" si="75"/>
        <v>0</v>
      </c>
      <c r="AF49" s="30">
        <f t="shared" si="76"/>
        <v>252696943.68333334</v>
      </c>
      <c r="AG49" s="30">
        <f t="shared" si="28"/>
        <v>445571753.75999999</v>
      </c>
      <c r="AH49" s="30">
        <f t="shared" si="29"/>
        <v>316380441.30189586</v>
      </c>
      <c r="AI49" s="30">
        <f t="shared" si="30"/>
        <v>310176903.23715276</v>
      </c>
      <c r="AJ49" s="31">
        <f t="shared" si="16"/>
        <v>171741350.86542752</v>
      </c>
      <c r="AK49" s="31">
        <f t="shared" si="17"/>
        <v>24880467.313731093</v>
      </c>
      <c r="AL49" s="30">
        <f t="shared" si="18"/>
        <v>130087273.99646303</v>
      </c>
      <c r="AM49" s="31">
        <f t="shared" si="19"/>
        <v>24272399.709337734</v>
      </c>
      <c r="AN49" s="31">
        <f t="shared" si="20"/>
        <v>24272399.709337734</v>
      </c>
      <c r="AO49" s="30">
        <f t="shared" si="21"/>
        <v>44674475.752964817</v>
      </c>
      <c r="AP49" s="30">
        <v>0</v>
      </c>
      <c r="AQ49" s="32">
        <f t="shared" si="77"/>
        <v>1492057465.6463106</v>
      </c>
      <c r="AR49" s="31">
        <f t="shared" si="22"/>
        <v>16137618.955319423</v>
      </c>
      <c r="AS49" s="31">
        <f t="shared" si="23"/>
        <v>15220716.004839607</v>
      </c>
      <c r="AT49" s="31">
        <f t="shared" si="78"/>
        <v>31358334.96015903</v>
      </c>
      <c r="AU49" s="33">
        <f t="shared" si="79"/>
        <v>6221209122.5311899</v>
      </c>
    </row>
    <row r="50" spans="1:47" ht="15" customHeight="1" x14ac:dyDescent="0.2">
      <c r="A50" s="41" t="s">
        <v>79</v>
      </c>
      <c r="B50" s="35">
        <v>22</v>
      </c>
      <c r="C50" s="35">
        <v>1</v>
      </c>
      <c r="D50" s="30">
        <v>7080770</v>
      </c>
      <c r="E50" s="30">
        <f t="shared" si="71"/>
        <v>84969240</v>
      </c>
      <c r="F50" s="30">
        <v>0</v>
      </c>
      <c r="G50" s="30">
        <v>0</v>
      </c>
      <c r="H50" s="30">
        <f t="shared" si="7"/>
        <v>0</v>
      </c>
      <c r="I50" s="30">
        <f t="shared" si="8"/>
        <v>0</v>
      </c>
      <c r="J50" s="30">
        <f t="shared" si="26"/>
        <v>3548990.1024305555</v>
      </c>
      <c r="K50" s="30">
        <f t="shared" si="80"/>
        <v>2478269.5</v>
      </c>
      <c r="L50" s="30">
        <v>0</v>
      </c>
      <c r="M50" s="30">
        <f t="shared" si="81"/>
        <v>7879817.7155967681</v>
      </c>
      <c r="N50" s="30">
        <f t="shared" si="85"/>
        <v>3561312.9847306614</v>
      </c>
      <c r="O50" s="30"/>
      <c r="P50" s="30">
        <f t="shared" si="11"/>
        <v>102437630.30275798</v>
      </c>
      <c r="Q50" s="30"/>
      <c r="R50" s="30"/>
      <c r="S50" s="30"/>
      <c r="T50" s="30"/>
      <c r="U50" s="30">
        <f t="shared" si="72"/>
        <v>0</v>
      </c>
      <c r="V50" s="30">
        <f t="shared" si="73"/>
        <v>102437630.30275798</v>
      </c>
      <c r="W50" s="30">
        <f t="shared" si="83"/>
        <v>5310577.5</v>
      </c>
      <c r="X50" s="30">
        <v>0</v>
      </c>
      <c r="Y50" s="30">
        <f t="shared" si="84"/>
        <v>472051.33333333331</v>
      </c>
      <c r="Z50" s="30">
        <f t="shared" si="74"/>
        <v>5782628.833333333</v>
      </c>
      <c r="AA50" s="30"/>
      <c r="AB50" s="30"/>
      <c r="AC50" s="30"/>
      <c r="AD50" s="30"/>
      <c r="AE50" s="30">
        <f t="shared" si="75"/>
        <v>0</v>
      </c>
      <c r="AF50" s="30">
        <f t="shared" si="76"/>
        <v>5782628.833333333</v>
      </c>
      <c r="AG50" s="30">
        <f t="shared" si="28"/>
        <v>10196308.800000001</v>
      </c>
      <c r="AH50" s="30">
        <f t="shared" si="29"/>
        <v>7239939.808958333</v>
      </c>
      <c r="AI50" s="30">
        <f t="shared" si="30"/>
        <v>7097980.204861111</v>
      </c>
      <c r="AJ50" s="31">
        <f t="shared" si="16"/>
        <v>3930069.24782818</v>
      </c>
      <c r="AK50" s="31">
        <f t="shared" si="17"/>
        <v>569355.94700142078</v>
      </c>
      <c r="AL50" s="30">
        <f t="shared" si="18"/>
        <v>2976871.8627810427</v>
      </c>
      <c r="AM50" s="31">
        <f t="shared" si="19"/>
        <v>555441.13976027234</v>
      </c>
      <c r="AN50" s="31">
        <f t="shared" si="20"/>
        <v>555441.13976027234</v>
      </c>
      <c r="AO50" s="30">
        <f t="shared" si="21"/>
        <v>1022315.1409653705</v>
      </c>
      <c r="AP50" s="30">
        <v>0</v>
      </c>
      <c r="AQ50" s="32">
        <f t="shared" si="77"/>
        <v>34143723.291915998</v>
      </c>
      <c r="AR50" s="31">
        <f t="shared" si="22"/>
        <v>369287.65070193226</v>
      </c>
      <c r="AS50" s="31">
        <f t="shared" si="23"/>
        <v>348305.5629824333</v>
      </c>
      <c r="AT50" s="31">
        <f t="shared" si="78"/>
        <v>717593.21368436562</v>
      </c>
      <c r="AU50" s="33">
        <f t="shared" si="79"/>
        <v>142363982.4280073</v>
      </c>
    </row>
    <row r="51" spans="1:47" ht="15" customHeight="1" thickBot="1" x14ac:dyDescent="0.25">
      <c r="A51" s="41" t="s">
        <v>79</v>
      </c>
      <c r="B51" s="35">
        <v>24</v>
      </c>
      <c r="C51" s="35">
        <v>1</v>
      </c>
      <c r="D51" s="30">
        <v>8067732</v>
      </c>
      <c r="E51" s="30">
        <f t="shared" si="71"/>
        <v>96812784</v>
      </c>
      <c r="F51" s="30">
        <v>0</v>
      </c>
      <c r="G51" s="30">
        <v>0</v>
      </c>
      <c r="H51" s="30">
        <f t="shared" si="7"/>
        <v>0</v>
      </c>
      <c r="I51" s="30">
        <f t="shared" si="8"/>
        <v>0</v>
      </c>
      <c r="J51" s="30">
        <f t="shared" si="26"/>
        <v>4043670.5354166664</v>
      </c>
      <c r="K51" s="30">
        <f t="shared" si="80"/>
        <v>2823706.1999999997</v>
      </c>
      <c r="L51" s="30">
        <v>0</v>
      </c>
      <c r="M51" s="30">
        <f t="shared" si="81"/>
        <v>8978155.9827938117</v>
      </c>
      <c r="N51" s="30">
        <f t="shared" si="85"/>
        <v>4057711.0581090855</v>
      </c>
      <c r="O51" s="30"/>
      <c r="P51" s="30">
        <f t="shared" si="11"/>
        <v>116716027.77631956</v>
      </c>
      <c r="Q51" s="30"/>
      <c r="R51" s="30"/>
      <c r="S51" s="30"/>
      <c r="T51" s="30"/>
      <c r="U51" s="30">
        <f t="shared" si="72"/>
        <v>0</v>
      </c>
      <c r="V51" s="30">
        <f t="shared" si="73"/>
        <v>116716027.77631956</v>
      </c>
      <c r="W51" s="30">
        <f t="shared" si="83"/>
        <v>6050799.0000000009</v>
      </c>
      <c r="X51" s="30">
        <v>0</v>
      </c>
      <c r="Y51" s="30">
        <f t="shared" si="84"/>
        <v>537848.80000000005</v>
      </c>
      <c r="Z51" s="30">
        <f t="shared" si="74"/>
        <v>6588647.8000000007</v>
      </c>
      <c r="AA51" s="30"/>
      <c r="AB51" s="30"/>
      <c r="AC51" s="30"/>
      <c r="AD51" s="30"/>
      <c r="AE51" s="30">
        <f t="shared" si="75"/>
        <v>0</v>
      </c>
      <c r="AF51" s="30">
        <f t="shared" si="76"/>
        <v>6588647.8000000007</v>
      </c>
      <c r="AG51" s="30">
        <f t="shared" si="28"/>
        <v>11617534.08</v>
      </c>
      <c r="AH51" s="30">
        <f t="shared" si="29"/>
        <v>8249087.8922500005</v>
      </c>
      <c r="AI51" s="30">
        <f t="shared" si="30"/>
        <v>8087341.0708333328</v>
      </c>
      <c r="AJ51" s="31">
        <f t="shared" si="16"/>
        <v>4477866.8750601057</v>
      </c>
      <c r="AK51" s="31">
        <f t="shared" si="17"/>
        <v>648716.33918538049</v>
      </c>
      <c r="AL51" s="30">
        <f t="shared" si="18"/>
        <v>3391806.877960762</v>
      </c>
      <c r="AM51" s="31">
        <f t="shared" si="19"/>
        <v>632861.99909902748</v>
      </c>
      <c r="AN51" s="31">
        <f t="shared" si="20"/>
        <v>632861.99909902748</v>
      </c>
      <c r="AO51" s="30">
        <f t="shared" si="21"/>
        <v>1164811.8180439177</v>
      </c>
      <c r="AP51" s="30">
        <v>0</v>
      </c>
      <c r="AQ51" s="32">
        <f t="shared" si="77"/>
        <v>38902888.951531559</v>
      </c>
      <c r="AR51" s="31">
        <f t="shared" si="22"/>
        <v>420761.27268260391</v>
      </c>
      <c r="AS51" s="31">
        <f t="shared" si="23"/>
        <v>396854.57037178054</v>
      </c>
      <c r="AT51" s="31">
        <f t="shared" si="78"/>
        <v>817615.84305438446</v>
      </c>
      <c r="AU51" s="33">
        <f t="shared" si="79"/>
        <v>162207564.5278511</v>
      </c>
    </row>
    <row r="52" spans="1:47" ht="15" customHeight="1" thickTop="1" thickBot="1" x14ac:dyDescent="0.25">
      <c r="A52" s="27" t="s">
        <v>80</v>
      </c>
      <c r="B52" s="39"/>
      <c r="C52" s="64">
        <f t="shared" ref="C52:AU52" si="86">SUM(C53:C83)</f>
        <v>167</v>
      </c>
      <c r="D52" s="61">
        <f t="shared" si="86"/>
        <v>60487661</v>
      </c>
      <c r="E52" s="61">
        <f t="shared" si="86"/>
        <v>3852696228</v>
      </c>
      <c r="F52" s="61">
        <f t="shared" si="86"/>
        <v>0</v>
      </c>
      <c r="G52" s="61">
        <f>SUM(G53:G83)</f>
        <v>0</v>
      </c>
      <c r="H52" s="61">
        <f t="shared" si="86"/>
        <v>12690816</v>
      </c>
      <c r="I52" s="61">
        <f t="shared" si="86"/>
        <v>14810976</v>
      </c>
      <c r="J52" s="61">
        <f t="shared" si="86"/>
        <v>162119435.33420137</v>
      </c>
      <c r="K52" s="61">
        <f t="shared" si="86"/>
        <v>128021136.25000003</v>
      </c>
      <c r="L52" s="61">
        <f t="shared" si="86"/>
        <v>233296210</v>
      </c>
      <c r="M52" s="61">
        <f t="shared" si="86"/>
        <v>358793262.46870202</v>
      </c>
      <c r="N52" s="61">
        <f t="shared" si="86"/>
        <v>162682350.04022294</v>
      </c>
      <c r="O52" s="61">
        <f t="shared" si="86"/>
        <v>0</v>
      </c>
      <c r="P52" s="61">
        <f t="shared" si="86"/>
        <v>4925110414.0931263</v>
      </c>
      <c r="Q52" s="61">
        <f t="shared" si="86"/>
        <v>0</v>
      </c>
      <c r="R52" s="61">
        <f t="shared" si="86"/>
        <v>0</v>
      </c>
      <c r="S52" s="61">
        <f t="shared" si="86"/>
        <v>0</v>
      </c>
      <c r="T52" s="61">
        <f t="shared" si="86"/>
        <v>0</v>
      </c>
      <c r="U52" s="61">
        <f t="shared" si="86"/>
        <v>0</v>
      </c>
      <c r="V52" s="61">
        <f t="shared" si="86"/>
        <v>4925110414.0931263</v>
      </c>
      <c r="W52" s="61">
        <f t="shared" si="86"/>
        <v>240793514.25</v>
      </c>
      <c r="X52" s="61">
        <f>+SUM(X53:X83)</f>
        <v>23000000</v>
      </c>
      <c r="Y52" s="61">
        <f t="shared" si="86"/>
        <v>21403867.933333334</v>
      </c>
      <c r="Z52" s="61">
        <f t="shared" si="86"/>
        <v>285197382.18333328</v>
      </c>
      <c r="AA52" s="61">
        <f t="shared" si="86"/>
        <v>0</v>
      </c>
      <c r="AB52" s="61">
        <f t="shared" si="86"/>
        <v>0</v>
      </c>
      <c r="AC52" s="61">
        <f t="shared" si="86"/>
        <v>0</v>
      </c>
      <c r="AD52" s="61">
        <f t="shared" si="86"/>
        <v>0</v>
      </c>
      <c r="AE52" s="61">
        <f t="shared" si="86"/>
        <v>0</v>
      </c>
      <c r="AF52" s="61">
        <f t="shared" si="86"/>
        <v>285197382.18333328</v>
      </c>
      <c r="AG52" s="61">
        <f t="shared" si="86"/>
        <v>470889848.15999997</v>
      </c>
      <c r="AH52" s="61">
        <f t="shared" si="86"/>
        <v>330723648.0817709</v>
      </c>
      <c r="AI52" s="61">
        <f t="shared" si="86"/>
        <v>324238870.66840273</v>
      </c>
      <c r="AJ52" s="61">
        <f t="shared" si="86"/>
        <v>178198168.73596171</v>
      </c>
      <c r="AK52" s="61">
        <f t="shared" si="86"/>
        <v>25815877.71529723</v>
      </c>
      <c r="AL52" s="61">
        <f t="shared" si="86"/>
        <v>134978057.90631831</v>
      </c>
      <c r="AM52" s="61">
        <f t="shared" si="86"/>
        <v>25184949.094877414</v>
      </c>
      <c r="AN52" s="61">
        <f t="shared" si="86"/>
        <v>25184949.094877414</v>
      </c>
      <c r="AO52" s="61">
        <f t="shared" si="86"/>
        <v>46354065.158457011</v>
      </c>
      <c r="AP52" s="61">
        <f t="shared" si="86"/>
        <v>0</v>
      </c>
      <c r="AQ52" s="62">
        <f t="shared" si="86"/>
        <v>1561568434.615962</v>
      </c>
      <c r="AR52" s="61">
        <f t="shared" si="86"/>
        <v>16744331.700581476</v>
      </c>
      <c r="AS52" s="61">
        <f t="shared" si="86"/>
        <v>15792956.706377942</v>
      </c>
      <c r="AT52" s="63">
        <f t="shared" si="86"/>
        <v>32537288.406959422</v>
      </c>
      <c r="AU52" s="62">
        <f t="shared" si="86"/>
        <v>6771876230.8924236</v>
      </c>
    </row>
    <row r="53" spans="1:47" ht="15" customHeight="1" thickTop="1" x14ac:dyDescent="0.2">
      <c r="A53" s="41" t="s">
        <v>81</v>
      </c>
      <c r="B53" s="35">
        <v>11</v>
      </c>
      <c r="C53" s="35">
        <v>6</v>
      </c>
      <c r="D53" s="30">
        <v>1836730</v>
      </c>
      <c r="E53" s="30">
        <f t="shared" ref="E53:E83" si="87">D53*C53*12</f>
        <v>132244560</v>
      </c>
      <c r="F53" s="30">
        <v>0</v>
      </c>
      <c r="G53" s="30">
        <v>0</v>
      </c>
      <c r="H53" s="30">
        <f t="shared" si="7"/>
        <v>793176</v>
      </c>
      <c r="I53" s="30">
        <f t="shared" si="8"/>
        <v>0</v>
      </c>
      <c r="J53" s="30">
        <f t="shared" si="26"/>
        <v>5562371.604166667</v>
      </c>
      <c r="K53" s="30">
        <f t="shared" si="80"/>
        <v>5510190</v>
      </c>
      <c r="L53" s="30">
        <v>0</v>
      </c>
      <c r="M53" s="30">
        <f t="shared" si="81"/>
        <v>12408233.91655213</v>
      </c>
      <c r="N53" s="30">
        <f t="shared" si="85"/>
        <v>5581685.3944589123</v>
      </c>
      <c r="O53" s="30"/>
      <c r="P53" s="30">
        <f t="shared" si="11"/>
        <v>162100216.9151777</v>
      </c>
      <c r="Q53" s="30"/>
      <c r="R53" s="30"/>
      <c r="S53" s="30"/>
      <c r="T53" s="30"/>
      <c r="U53" s="30">
        <f>SUM(Q53:T53)</f>
        <v>0</v>
      </c>
      <c r="V53" s="30">
        <f t="shared" ref="V53:V83" si="88">P53+U53</f>
        <v>162100216.9151777</v>
      </c>
      <c r="W53" s="30">
        <f>+(E53/360)*22.5</f>
        <v>8265285</v>
      </c>
      <c r="X53" s="30">
        <v>23000000</v>
      </c>
      <c r="Y53" s="30">
        <f t="shared" si="59"/>
        <v>734692</v>
      </c>
      <c r="Z53" s="30">
        <f>SUM(W53:Y53)</f>
        <v>31999977</v>
      </c>
      <c r="AA53" s="30"/>
      <c r="AB53" s="30"/>
      <c r="AC53" s="30"/>
      <c r="AD53" s="30"/>
      <c r="AE53" s="30">
        <f>SUM(AA53:AD53)</f>
        <v>0</v>
      </c>
      <c r="AF53" s="30">
        <f>Z53+AE53</f>
        <v>31999977</v>
      </c>
      <c r="AG53" s="30">
        <f t="shared" si="28"/>
        <v>16440433.919999998</v>
      </c>
      <c r="AH53" s="30">
        <f t="shared" si="29"/>
        <v>11347238.072500002</v>
      </c>
      <c r="AI53" s="30">
        <f t="shared" si="30"/>
        <v>11124743.208333334</v>
      </c>
      <c r="AJ53" s="31">
        <f t="shared" si="16"/>
        <v>6116687.3853240144</v>
      </c>
      <c r="AK53" s="31">
        <f t="shared" si="17"/>
        <v>886135.10835905105</v>
      </c>
      <c r="AL53" s="30">
        <f t="shared" si="18"/>
        <v>4633148.5331616402</v>
      </c>
      <c r="AM53" s="31">
        <f t="shared" si="19"/>
        <v>864478.35868010251</v>
      </c>
      <c r="AN53" s="31">
        <f t="shared" si="20"/>
        <v>864478.35868010251</v>
      </c>
      <c r="AO53" s="30">
        <f t="shared" si="21"/>
        <v>1591112.4543223337</v>
      </c>
      <c r="AP53" s="30">
        <v>0</v>
      </c>
      <c r="AQ53" s="32">
        <f>SUM(AG53:AP53)</f>
        <v>53868455.399360575</v>
      </c>
      <c r="AR53" s="31">
        <f t="shared" si="22"/>
        <v>574752.49726266495</v>
      </c>
      <c r="AS53" s="31">
        <f t="shared" si="23"/>
        <v>542096.36242673441</v>
      </c>
      <c r="AT53" s="31">
        <f>SUM(AR53:AS53)</f>
        <v>1116848.8596893994</v>
      </c>
      <c r="AU53" s="33">
        <f>V53+AF53+AQ53</f>
        <v>247968649.31453827</v>
      </c>
    </row>
    <row r="54" spans="1:47" ht="15" customHeight="1" x14ac:dyDescent="0.2">
      <c r="A54" s="41" t="s">
        <v>81</v>
      </c>
      <c r="B54" s="35">
        <v>13</v>
      </c>
      <c r="C54" s="35">
        <v>4</v>
      </c>
      <c r="D54" s="30">
        <v>2077050</v>
      </c>
      <c r="E54" s="30">
        <f t="shared" si="87"/>
        <v>99698400</v>
      </c>
      <c r="F54" s="30">
        <v>0</v>
      </c>
      <c r="G54" s="30">
        <v>0</v>
      </c>
      <c r="H54" s="30">
        <f t="shared" si="7"/>
        <v>0</v>
      </c>
      <c r="I54" s="30">
        <f t="shared" si="8"/>
        <v>0</v>
      </c>
      <c r="J54" s="30">
        <f t="shared" si="26"/>
        <v>4164196.7708333335</v>
      </c>
      <c r="K54" s="30">
        <f t="shared" ref="K54:K107" si="89">+IF(D54&lt;1687295,(((D54+(F54/12)+(G54/12))*0.5))*C54,(((D54+(F54/12)+(G54/12))*0.35))*C54)</f>
        <v>2907870</v>
      </c>
      <c r="L54" s="30">
        <v>0</v>
      </c>
      <c r="M54" s="30">
        <f t="shared" si="81"/>
        <v>9245760.2131860051</v>
      </c>
      <c r="N54" s="30">
        <f t="shared" si="85"/>
        <v>4178655.7873987271</v>
      </c>
      <c r="O54" s="30"/>
      <c r="P54" s="30">
        <f t="shared" si="11"/>
        <v>120194882.77141806</v>
      </c>
      <c r="Q54" s="30"/>
      <c r="R54" s="30"/>
      <c r="S54" s="30"/>
      <c r="T54" s="30"/>
      <c r="U54" s="30">
        <f t="shared" ref="U54:U83" si="90">SUM(Q54:T54)</f>
        <v>0</v>
      </c>
      <c r="V54" s="30">
        <f t="shared" si="88"/>
        <v>120194882.77141806</v>
      </c>
      <c r="W54" s="30">
        <f t="shared" ref="W54:W83" si="91">+(E54/360)*22.5</f>
        <v>6231150</v>
      </c>
      <c r="X54" s="30">
        <v>0</v>
      </c>
      <c r="Y54" s="30">
        <f t="shared" si="59"/>
        <v>553880</v>
      </c>
      <c r="Z54" s="30">
        <f t="shared" ref="Z54:Z83" si="92">SUM(W54:Y54)</f>
        <v>6785030</v>
      </c>
      <c r="AA54" s="30"/>
      <c r="AB54" s="30"/>
      <c r="AC54" s="30"/>
      <c r="AD54" s="30"/>
      <c r="AE54" s="30">
        <f t="shared" ref="AE54:AE83" si="93">SUM(AA54:AD54)</f>
        <v>0</v>
      </c>
      <c r="AF54" s="30">
        <f t="shared" ref="AF54:AF83" si="94">Z54+AE54</f>
        <v>6785030</v>
      </c>
      <c r="AG54" s="30">
        <f t="shared" si="28"/>
        <v>11963808</v>
      </c>
      <c r="AH54" s="30">
        <f t="shared" si="29"/>
        <v>8494961.4125000015</v>
      </c>
      <c r="AI54" s="30">
        <f t="shared" si="30"/>
        <v>8328393.541666667</v>
      </c>
      <c r="AJ54" s="31">
        <f t="shared" si="16"/>
        <v>4611334.830082899</v>
      </c>
      <c r="AK54" s="31">
        <f t="shared" si="17"/>
        <v>668052.07327412197</v>
      </c>
      <c r="AL54" s="30">
        <f t="shared" si="18"/>
        <v>3492903.5698599815</v>
      </c>
      <c r="AM54" s="31">
        <f t="shared" si="19"/>
        <v>651725.17640825699</v>
      </c>
      <c r="AN54" s="31">
        <f t="shared" si="20"/>
        <v>651725.17640825699</v>
      </c>
      <c r="AO54" s="30">
        <f t="shared" si="21"/>
        <v>1199530.3694610177</v>
      </c>
      <c r="AP54" s="30">
        <v>0</v>
      </c>
      <c r="AQ54" s="32">
        <f t="shared" ref="AQ54:AQ83" si="95">SUM(AG54:AP54)</f>
        <v>40062434.149661191</v>
      </c>
      <c r="AR54" s="31">
        <f t="shared" si="22"/>
        <v>433302.54471784749</v>
      </c>
      <c r="AS54" s="31">
        <f t="shared" si="23"/>
        <v>408683.27574128972</v>
      </c>
      <c r="AT54" s="31">
        <f t="shared" ref="AT54:AT83" si="96">SUM(AR54:AS54)</f>
        <v>841985.82045913721</v>
      </c>
      <c r="AU54" s="33">
        <f t="shared" ref="AU54:AU83" si="97">V54+AF54+AQ54</f>
        <v>167042346.92107925</v>
      </c>
    </row>
    <row r="55" spans="1:47" ht="15" customHeight="1" x14ac:dyDescent="0.2">
      <c r="A55" s="41" t="s">
        <v>81</v>
      </c>
      <c r="B55" s="35">
        <v>15</v>
      </c>
      <c r="C55" s="35">
        <v>2</v>
      </c>
      <c r="D55" s="30">
        <v>2250064</v>
      </c>
      <c r="E55" s="30">
        <f t="shared" si="87"/>
        <v>54001536</v>
      </c>
      <c r="F55" s="30">
        <v>0</v>
      </c>
      <c r="G55" s="30">
        <v>0</v>
      </c>
      <c r="H55" s="30">
        <f t="shared" si="7"/>
        <v>0</v>
      </c>
      <c r="I55" s="30">
        <f t="shared" si="8"/>
        <v>0</v>
      </c>
      <c r="J55" s="30">
        <f t="shared" si="26"/>
        <v>2255532.9055555556</v>
      </c>
      <c r="K55" s="30">
        <f t="shared" si="89"/>
        <v>1575044.7999999998</v>
      </c>
      <c r="L55" s="30">
        <v>0</v>
      </c>
      <c r="M55" s="30">
        <f t="shared" si="81"/>
        <v>5007956.5268823951</v>
      </c>
      <c r="N55" s="30">
        <f t="shared" si="85"/>
        <v>2263364.6170331789</v>
      </c>
      <c r="O55" s="30"/>
      <c r="P55" s="30">
        <f t="shared" si="11"/>
        <v>65103434.849471122</v>
      </c>
      <c r="Q55" s="30"/>
      <c r="R55" s="30"/>
      <c r="S55" s="30"/>
      <c r="T55" s="30"/>
      <c r="U55" s="30">
        <f t="shared" si="90"/>
        <v>0</v>
      </c>
      <c r="V55" s="30">
        <f t="shared" si="88"/>
        <v>65103434.849471122</v>
      </c>
      <c r="W55" s="30">
        <f t="shared" si="91"/>
        <v>3375096</v>
      </c>
      <c r="X55" s="30">
        <v>0</v>
      </c>
      <c r="Y55" s="30">
        <f t="shared" si="59"/>
        <v>300008.53333333333</v>
      </c>
      <c r="Z55" s="30">
        <f t="shared" si="92"/>
        <v>3675104.5333333332</v>
      </c>
      <c r="AA55" s="30"/>
      <c r="AB55" s="30"/>
      <c r="AC55" s="30"/>
      <c r="AD55" s="30"/>
      <c r="AE55" s="30">
        <f t="shared" si="93"/>
        <v>0</v>
      </c>
      <c r="AF55" s="30">
        <f t="shared" si="94"/>
        <v>3675104.5333333332</v>
      </c>
      <c r="AG55" s="30">
        <f t="shared" si="28"/>
        <v>6480184.3200000003</v>
      </c>
      <c r="AH55" s="30">
        <f t="shared" si="29"/>
        <v>4601287.1273333337</v>
      </c>
      <c r="AI55" s="30">
        <f t="shared" si="30"/>
        <v>4511065.8111111112</v>
      </c>
      <c r="AJ55" s="31">
        <f t="shared" si="16"/>
        <v>2497724.7762729945</v>
      </c>
      <c r="AK55" s="31">
        <f t="shared" si="17"/>
        <v>361849.71960219159</v>
      </c>
      <c r="AL55" s="30">
        <f t="shared" si="18"/>
        <v>1891927.6324627306</v>
      </c>
      <c r="AM55" s="31">
        <f t="shared" si="19"/>
        <v>353006.27267756395</v>
      </c>
      <c r="AN55" s="31">
        <f t="shared" si="20"/>
        <v>353006.27267756395</v>
      </c>
      <c r="AO55" s="30">
        <f t="shared" si="21"/>
        <v>649724.39306490822</v>
      </c>
      <c r="AP55" s="30">
        <v>0</v>
      </c>
      <c r="AQ55" s="32">
        <f t="shared" si="95"/>
        <v>21699776.325202398</v>
      </c>
      <c r="AR55" s="31">
        <f t="shared" si="22"/>
        <v>234697.8784762088</v>
      </c>
      <c r="AS55" s="31">
        <f t="shared" si="23"/>
        <v>221362.87671157398</v>
      </c>
      <c r="AT55" s="31">
        <f t="shared" si="96"/>
        <v>456060.75518778281</v>
      </c>
      <c r="AU55" s="33">
        <f t="shared" si="97"/>
        <v>90478315.708006859</v>
      </c>
    </row>
    <row r="56" spans="1:47" ht="15" customHeight="1" x14ac:dyDescent="0.2">
      <c r="A56" s="41" t="s">
        <v>81</v>
      </c>
      <c r="B56" s="35">
        <v>16</v>
      </c>
      <c r="C56" s="35">
        <v>6</v>
      </c>
      <c r="D56" s="30">
        <v>2542265</v>
      </c>
      <c r="E56" s="30">
        <f t="shared" si="87"/>
        <v>183043080</v>
      </c>
      <c r="F56" s="30">
        <v>0</v>
      </c>
      <c r="G56" s="30">
        <v>0</v>
      </c>
      <c r="H56" s="30">
        <f t="shared" si="7"/>
        <v>0</v>
      </c>
      <c r="I56" s="30">
        <f t="shared" si="8"/>
        <v>0</v>
      </c>
      <c r="J56" s="30">
        <f t="shared" si="26"/>
        <v>7645332.348958333</v>
      </c>
      <c r="K56" s="30">
        <f t="shared" si="89"/>
        <v>5338756.5</v>
      </c>
      <c r="L56" s="30">
        <v>0</v>
      </c>
      <c r="M56" s="30">
        <f t="shared" si="81"/>
        <v>16974920.624232918</v>
      </c>
      <c r="N56" s="30">
        <f t="shared" si="85"/>
        <v>7671878.6418366609</v>
      </c>
      <c r="O56" s="30"/>
      <c r="P56" s="30">
        <f t="shared" si="11"/>
        <v>220673968.11502793</v>
      </c>
      <c r="Q56" s="30"/>
      <c r="R56" s="30"/>
      <c r="S56" s="30"/>
      <c r="T56" s="30"/>
      <c r="U56" s="30">
        <f t="shared" si="90"/>
        <v>0</v>
      </c>
      <c r="V56" s="30">
        <f t="shared" si="88"/>
        <v>220673968.11502793</v>
      </c>
      <c r="W56" s="30">
        <f t="shared" si="91"/>
        <v>11440192.5</v>
      </c>
      <c r="X56" s="30">
        <v>0</v>
      </c>
      <c r="Y56" s="30">
        <f t="shared" si="59"/>
        <v>1016906</v>
      </c>
      <c r="Z56" s="30">
        <f t="shared" si="92"/>
        <v>12457098.5</v>
      </c>
      <c r="AA56" s="30"/>
      <c r="AB56" s="30"/>
      <c r="AC56" s="30"/>
      <c r="AD56" s="30"/>
      <c r="AE56" s="30">
        <f t="shared" si="93"/>
        <v>0</v>
      </c>
      <c r="AF56" s="30">
        <f t="shared" si="94"/>
        <v>12457098.5</v>
      </c>
      <c r="AG56" s="30">
        <f t="shared" si="28"/>
        <v>21965169.599999998</v>
      </c>
      <c r="AH56" s="30">
        <f t="shared" si="29"/>
        <v>15596477.991875</v>
      </c>
      <c r="AI56" s="30">
        <f t="shared" si="30"/>
        <v>15290664.697916666</v>
      </c>
      <c r="AJ56" s="31">
        <f t="shared" si="16"/>
        <v>8466263.5529722683</v>
      </c>
      <c r="AK56" s="31">
        <f t="shared" si="17"/>
        <v>1226522.2821277068</v>
      </c>
      <c r="AL56" s="30">
        <f t="shared" si="18"/>
        <v>6412859.4598325165</v>
      </c>
      <c r="AM56" s="31">
        <f t="shared" si="19"/>
        <v>1196546.6206409601</v>
      </c>
      <c r="AN56" s="31">
        <f t="shared" si="20"/>
        <v>1196546.6206409601</v>
      </c>
      <c r="AO56" s="30">
        <f t="shared" si="21"/>
        <v>2202299.468995316</v>
      </c>
      <c r="AP56" s="30">
        <v>0</v>
      </c>
      <c r="AQ56" s="32">
        <f t="shared" si="95"/>
        <v>73553350.295001402</v>
      </c>
      <c r="AR56" s="31">
        <f t="shared" si="22"/>
        <v>795529.64096708223</v>
      </c>
      <c r="AS56" s="31">
        <f t="shared" si="23"/>
        <v>750329.44897987298</v>
      </c>
      <c r="AT56" s="31">
        <f t="shared" si="96"/>
        <v>1545859.0899469552</v>
      </c>
      <c r="AU56" s="33">
        <f t="shared" si="97"/>
        <v>306684416.91002935</v>
      </c>
    </row>
    <row r="57" spans="1:47" ht="15" customHeight="1" x14ac:dyDescent="0.2">
      <c r="A57" s="41" t="s">
        <v>81</v>
      </c>
      <c r="B57" s="35">
        <v>17</v>
      </c>
      <c r="C57" s="35">
        <v>1</v>
      </c>
      <c r="D57" s="30">
        <v>2721555</v>
      </c>
      <c r="E57" s="30">
        <f t="shared" si="87"/>
        <v>32658660</v>
      </c>
      <c r="F57" s="30">
        <v>0</v>
      </c>
      <c r="G57" s="30">
        <v>0</v>
      </c>
      <c r="H57" s="30">
        <f t="shared" si="7"/>
        <v>0</v>
      </c>
      <c r="I57" s="30">
        <f t="shared" si="8"/>
        <v>0</v>
      </c>
      <c r="J57" s="30">
        <f t="shared" si="26"/>
        <v>1364084.9453125</v>
      </c>
      <c r="K57" s="30">
        <f t="shared" si="89"/>
        <v>952544.24999999988</v>
      </c>
      <c r="L57" s="30">
        <v>0</v>
      </c>
      <c r="M57" s="30">
        <f t="shared" si="81"/>
        <v>3028675.8788904264</v>
      </c>
      <c r="N57" s="30">
        <f t="shared" si="85"/>
        <v>1368821.3513726129</v>
      </c>
      <c r="O57" s="30"/>
      <c r="P57" s="30">
        <f t="shared" si="11"/>
        <v>39372786.425575539</v>
      </c>
      <c r="Q57" s="30"/>
      <c r="R57" s="30"/>
      <c r="S57" s="30"/>
      <c r="T57" s="30"/>
      <c r="U57" s="30">
        <f t="shared" si="90"/>
        <v>0</v>
      </c>
      <c r="V57" s="30">
        <f t="shared" si="88"/>
        <v>39372786.425575539</v>
      </c>
      <c r="W57" s="30">
        <f t="shared" si="91"/>
        <v>2041166.25</v>
      </c>
      <c r="X57" s="30">
        <v>0</v>
      </c>
      <c r="Y57" s="30">
        <f t="shared" si="59"/>
        <v>181437</v>
      </c>
      <c r="Z57" s="30">
        <f t="shared" si="92"/>
        <v>2222603.25</v>
      </c>
      <c r="AA57" s="30"/>
      <c r="AB57" s="30"/>
      <c r="AC57" s="30"/>
      <c r="AD57" s="30"/>
      <c r="AE57" s="30">
        <f t="shared" si="93"/>
        <v>0</v>
      </c>
      <c r="AF57" s="30">
        <f t="shared" si="94"/>
        <v>2222603.25</v>
      </c>
      <c r="AG57" s="30">
        <f t="shared" si="28"/>
        <v>3919039.1999999997</v>
      </c>
      <c r="AH57" s="30">
        <f t="shared" si="29"/>
        <v>2782733.2884375001</v>
      </c>
      <c r="AI57" s="30">
        <f t="shared" si="30"/>
        <v>2728169.890625</v>
      </c>
      <c r="AJ57" s="31">
        <f t="shared" si="16"/>
        <v>1510556.0005159075</v>
      </c>
      <c r="AK57" s="31">
        <f t="shared" si="17"/>
        <v>218836.86722509723</v>
      </c>
      <c r="AL57" s="30">
        <f t="shared" si="18"/>
        <v>1144186.3670915819</v>
      </c>
      <c r="AM57" s="31">
        <f t="shared" si="19"/>
        <v>213488.59108829516</v>
      </c>
      <c r="AN57" s="31">
        <f t="shared" si="20"/>
        <v>213488.59108829516</v>
      </c>
      <c r="AO57" s="30">
        <f t="shared" si="21"/>
        <v>392935.6388457765</v>
      </c>
      <c r="AP57" s="30">
        <v>0</v>
      </c>
      <c r="AQ57" s="32">
        <f t="shared" si="95"/>
        <v>13123434.434917454</v>
      </c>
      <c r="AR57" s="31">
        <f t="shared" si="22"/>
        <v>141938.89255068265</v>
      </c>
      <c r="AS57" s="31">
        <f t="shared" si="23"/>
        <v>133874.24622783344</v>
      </c>
      <c r="AT57" s="31">
        <f t="shared" si="96"/>
        <v>275813.13877851609</v>
      </c>
      <c r="AU57" s="33">
        <f t="shared" si="97"/>
        <v>54718824.110492989</v>
      </c>
    </row>
    <row r="58" spans="1:47" ht="15" customHeight="1" x14ac:dyDescent="0.2">
      <c r="A58" s="41" t="s">
        <v>82</v>
      </c>
      <c r="B58" s="78" t="s">
        <v>106</v>
      </c>
      <c r="C58" s="35">
        <v>4</v>
      </c>
      <c r="D58" s="30">
        <v>1020643</v>
      </c>
      <c r="E58" s="30">
        <f t="shared" si="87"/>
        <v>48990864</v>
      </c>
      <c r="F58" s="30">
        <v>0</v>
      </c>
      <c r="G58" s="30">
        <v>0</v>
      </c>
      <c r="H58" s="30">
        <f t="shared" si="7"/>
        <v>793176</v>
      </c>
      <c r="I58" s="30">
        <f t="shared" si="8"/>
        <v>1234248</v>
      </c>
      <c r="J58" s="30">
        <f t="shared" si="26"/>
        <v>2132849.798611111</v>
      </c>
      <c r="K58" s="30">
        <f t="shared" si="89"/>
        <v>2041286</v>
      </c>
      <c r="L58" s="30">
        <f>+((((D58/30)/8)*50)*12)*C58</f>
        <v>10206430</v>
      </c>
      <c r="M58" s="30">
        <f t="shared" si="81"/>
        <v>4608771.2771408018</v>
      </c>
      <c r="N58" s="30">
        <f t="shared" si="85"/>
        <v>2140255.5270785107</v>
      </c>
      <c r="O58" s="30"/>
      <c r="P58" s="30">
        <f t="shared" si="11"/>
        <v>72147880.602830425</v>
      </c>
      <c r="Q58" s="30"/>
      <c r="R58" s="30"/>
      <c r="S58" s="30"/>
      <c r="T58" s="30"/>
      <c r="U58" s="30">
        <f t="shared" si="90"/>
        <v>0</v>
      </c>
      <c r="V58" s="30">
        <f t="shared" si="88"/>
        <v>72147880.602830425</v>
      </c>
      <c r="W58" s="30">
        <f t="shared" si="91"/>
        <v>3061929</v>
      </c>
      <c r="X58" s="30">
        <v>0</v>
      </c>
      <c r="Y58" s="30">
        <f t="shared" si="59"/>
        <v>272171.46666666667</v>
      </c>
      <c r="Z58" s="30">
        <f t="shared" si="92"/>
        <v>3334100.4666666668</v>
      </c>
      <c r="AA58" s="30"/>
      <c r="AB58" s="30"/>
      <c r="AC58" s="30"/>
      <c r="AD58" s="30"/>
      <c r="AE58" s="30">
        <f t="shared" si="93"/>
        <v>0</v>
      </c>
      <c r="AF58" s="30">
        <f t="shared" si="94"/>
        <v>3334100.4666666668</v>
      </c>
      <c r="AG58" s="30">
        <f t="shared" si="28"/>
        <v>6259628.1600000001</v>
      </c>
      <c r="AH58" s="30">
        <f t="shared" si="29"/>
        <v>4351013.5891666664</v>
      </c>
      <c r="AI58" s="30">
        <f t="shared" si="30"/>
        <v>4265699.597222222</v>
      </c>
      <c r="AJ58" s="31">
        <f t="shared" si="16"/>
        <v>2265966.9314558147</v>
      </c>
      <c r="AK58" s="31">
        <f t="shared" si="17"/>
        <v>328274.55873605335</v>
      </c>
      <c r="AL58" s="30">
        <f t="shared" si="18"/>
        <v>1716380.240366193</v>
      </c>
      <c r="AM58" s="31">
        <f t="shared" si="19"/>
        <v>320251.67387634033</v>
      </c>
      <c r="AN58" s="31">
        <f t="shared" si="20"/>
        <v>320251.67387634033</v>
      </c>
      <c r="AO58" s="30">
        <f t="shared" si="21"/>
        <v>589438.03706112108</v>
      </c>
      <c r="AP58" s="30">
        <v>0</v>
      </c>
      <c r="AQ58" s="32">
        <f t="shared" si="95"/>
        <v>20416904.461760756</v>
      </c>
      <c r="AR58" s="31">
        <f t="shared" si="22"/>
        <v>212920.82961337379</v>
      </c>
      <c r="AS58" s="31">
        <f t="shared" si="23"/>
        <v>200823.15043085974</v>
      </c>
      <c r="AT58" s="31">
        <f t="shared" si="96"/>
        <v>413743.9800442335</v>
      </c>
      <c r="AU58" s="33">
        <f t="shared" si="97"/>
        <v>95898885.531257853</v>
      </c>
    </row>
    <row r="59" spans="1:47" ht="15" customHeight="1" x14ac:dyDescent="0.2">
      <c r="A59" s="41" t="s">
        <v>82</v>
      </c>
      <c r="B59" s="78" t="s">
        <v>109</v>
      </c>
      <c r="C59" s="35">
        <v>14</v>
      </c>
      <c r="D59" s="30">
        <v>1384634</v>
      </c>
      <c r="E59" s="30">
        <f t="shared" si="87"/>
        <v>232618512</v>
      </c>
      <c r="F59" s="30">
        <v>0</v>
      </c>
      <c r="G59" s="30">
        <v>0</v>
      </c>
      <c r="H59" s="30">
        <f t="shared" si="7"/>
        <v>793176</v>
      </c>
      <c r="I59" s="30">
        <f t="shared" si="8"/>
        <v>1234248</v>
      </c>
      <c r="J59" s="30">
        <f t="shared" si="26"/>
        <v>9810568.2986111101</v>
      </c>
      <c r="K59" s="30">
        <f t="shared" si="89"/>
        <v>9692438</v>
      </c>
      <c r="L59" s="30">
        <f t="shared" ref="L59:L61" si="98">+((((D59/30)/8)*50)*12)*C59</f>
        <v>48462190</v>
      </c>
      <c r="M59" s="30">
        <f t="shared" si="81"/>
        <v>21830512.589206778</v>
      </c>
      <c r="N59" s="30">
        <f t="shared" si="85"/>
        <v>9844632.7718701772</v>
      </c>
      <c r="O59" s="30"/>
      <c r="P59" s="30">
        <f t="shared" si="11"/>
        <v>334286277.65968806</v>
      </c>
      <c r="Q59" s="30"/>
      <c r="R59" s="30"/>
      <c r="S59" s="30"/>
      <c r="T59" s="30"/>
      <c r="U59" s="30">
        <f t="shared" si="90"/>
        <v>0</v>
      </c>
      <c r="V59" s="30">
        <f t="shared" si="88"/>
        <v>334286277.65968806</v>
      </c>
      <c r="W59" s="30">
        <f t="shared" si="91"/>
        <v>14538657</v>
      </c>
      <c r="X59" s="30">
        <v>0</v>
      </c>
      <c r="Y59" s="30">
        <f t="shared" si="59"/>
        <v>1292325.0666666667</v>
      </c>
      <c r="Z59" s="30">
        <f t="shared" si="92"/>
        <v>15830982.066666666</v>
      </c>
      <c r="AA59" s="30"/>
      <c r="AB59" s="30"/>
      <c r="AC59" s="30"/>
      <c r="AD59" s="30"/>
      <c r="AE59" s="30">
        <f t="shared" si="93"/>
        <v>0</v>
      </c>
      <c r="AF59" s="30">
        <f t="shared" si="94"/>
        <v>15830982.066666666</v>
      </c>
      <c r="AG59" s="30">
        <f t="shared" si="28"/>
        <v>29246757.120000001</v>
      </c>
      <c r="AH59" s="30">
        <f t="shared" si="29"/>
        <v>20013559.329166666</v>
      </c>
      <c r="AI59" s="30">
        <f t="shared" si="30"/>
        <v>19621136.59722222</v>
      </c>
      <c r="AJ59" s="31">
        <f t="shared" si="16"/>
        <v>10759268.418627147</v>
      </c>
      <c r="AK59" s="31">
        <f t="shared" si="17"/>
        <v>1558713.8732772162</v>
      </c>
      <c r="AL59" s="30">
        <f t="shared" si="18"/>
        <v>8149719.8649157546</v>
      </c>
      <c r="AM59" s="31">
        <f t="shared" si="19"/>
        <v>1520619.5963929836</v>
      </c>
      <c r="AN59" s="31">
        <f t="shared" si="20"/>
        <v>1520619.5963929836</v>
      </c>
      <c r="AO59" s="30">
        <f t="shared" si="21"/>
        <v>2798770.7891283333</v>
      </c>
      <c r="AP59" s="30">
        <v>0</v>
      </c>
      <c r="AQ59" s="32">
        <f t="shared" si="95"/>
        <v>95189165.185123324</v>
      </c>
      <c r="AR59" s="31">
        <f t="shared" si="22"/>
        <v>1010991.0810813329</v>
      </c>
      <c r="AS59" s="31">
        <f t="shared" si="23"/>
        <v>953548.85817851149</v>
      </c>
      <c r="AT59" s="31">
        <f t="shared" si="96"/>
        <v>1964539.9392598444</v>
      </c>
      <c r="AU59" s="33">
        <f t="shared" si="97"/>
        <v>445306424.91147804</v>
      </c>
    </row>
    <row r="60" spans="1:47" ht="15" customHeight="1" x14ac:dyDescent="0.2">
      <c r="A60" s="41" t="s">
        <v>83</v>
      </c>
      <c r="B60" s="78" t="s">
        <v>111</v>
      </c>
      <c r="C60" s="35">
        <v>1</v>
      </c>
      <c r="D60" s="30">
        <v>1512852</v>
      </c>
      <c r="E60" s="30">
        <f t="shared" si="87"/>
        <v>18154224</v>
      </c>
      <c r="F60" s="30">
        <v>0</v>
      </c>
      <c r="G60" s="30">
        <v>0</v>
      </c>
      <c r="H60" s="30">
        <f t="shared" si="7"/>
        <v>793176</v>
      </c>
      <c r="I60" s="30">
        <f t="shared" si="8"/>
        <v>1234248</v>
      </c>
      <c r="J60" s="30">
        <f t="shared" si="26"/>
        <v>843528.47916666663</v>
      </c>
      <c r="K60" s="30">
        <f t="shared" si="89"/>
        <v>756426</v>
      </c>
      <c r="L60" s="30">
        <f t="shared" si="98"/>
        <v>3782130</v>
      </c>
      <c r="M60" s="30">
        <f t="shared" si="81"/>
        <v>1716719.6563886476</v>
      </c>
      <c r="N60" s="30">
        <f t="shared" si="85"/>
        <v>846457.39749710646</v>
      </c>
      <c r="O60" s="30"/>
      <c r="P60" s="30">
        <f t="shared" si="11"/>
        <v>28126909.533052422</v>
      </c>
      <c r="Q60" s="30"/>
      <c r="R60" s="30"/>
      <c r="S60" s="30"/>
      <c r="T60" s="30"/>
      <c r="U60" s="30">
        <f t="shared" si="90"/>
        <v>0</v>
      </c>
      <c r="V60" s="30">
        <f t="shared" si="88"/>
        <v>28126909.533052422</v>
      </c>
      <c r="W60" s="30">
        <f t="shared" si="91"/>
        <v>1134639</v>
      </c>
      <c r="X60" s="30">
        <v>0</v>
      </c>
      <c r="Y60" s="30">
        <f t="shared" si="59"/>
        <v>100856.8</v>
      </c>
      <c r="Z60" s="30">
        <f t="shared" si="92"/>
        <v>1235495.8</v>
      </c>
      <c r="AA60" s="30"/>
      <c r="AB60" s="30"/>
      <c r="AC60" s="30"/>
      <c r="AD60" s="30"/>
      <c r="AE60" s="30">
        <f t="shared" si="93"/>
        <v>0</v>
      </c>
      <c r="AF60" s="30">
        <f t="shared" si="94"/>
        <v>1235495.8</v>
      </c>
      <c r="AG60" s="30">
        <f t="shared" si="28"/>
        <v>2273688</v>
      </c>
      <c r="AH60" s="30">
        <f t="shared" si="29"/>
        <v>1720798.0975000001</v>
      </c>
      <c r="AI60" s="30">
        <f t="shared" si="30"/>
        <v>1687056.9583333333</v>
      </c>
      <c r="AJ60" s="31">
        <f t="shared" si="16"/>
        <v>839684.54302503238</v>
      </c>
      <c r="AK60" s="31">
        <f t="shared" si="17"/>
        <v>121646.55583121517</v>
      </c>
      <c r="AL60" s="30">
        <f t="shared" si="18"/>
        <v>636027.79801519134</v>
      </c>
      <c r="AM60" s="31">
        <f t="shared" si="19"/>
        <v>118673.5678702468</v>
      </c>
      <c r="AN60" s="31">
        <f t="shared" si="20"/>
        <v>118673.5678702468</v>
      </c>
      <c r="AO60" s="30">
        <f t="shared" si="21"/>
        <v>218424.19759994216</v>
      </c>
      <c r="AP60" s="30">
        <v>0</v>
      </c>
      <c r="AQ60" s="32">
        <f t="shared" si="95"/>
        <v>7734673.2860452086</v>
      </c>
      <c r="AR60" s="31">
        <f t="shared" si="22"/>
        <v>78900.67901368349</v>
      </c>
      <c r="AS60" s="31">
        <f t="shared" si="23"/>
        <v>74417.721175677245</v>
      </c>
      <c r="AT60" s="31">
        <f t="shared" si="96"/>
        <v>153318.40018936072</v>
      </c>
      <c r="AU60" s="33">
        <f t="shared" si="97"/>
        <v>37097078.619097635</v>
      </c>
    </row>
    <row r="61" spans="1:47" ht="15" customHeight="1" x14ac:dyDescent="0.2">
      <c r="A61" s="41" t="s">
        <v>83</v>
      </c>
      <c r="B61" s="78" t="s">
        <v>112</v>
      </c>
      <c r="C61" s="35">
        <v>6</v>
      </c>
      <c r="D61" s="30">
        <v>1664922</v>
      </c>
      <c r="E61" s="30">
        <f t="shared" si="87"/>
        <v>119874384</v>
      </c>
      <c r="F61" s="30">
        <v>0</v>
      </c>
      <c r="G61" s="30">
        <v>0</v>
      </c>
      <c r="H61" s="30">
        <f t="shared" si="7"/>
        <v>793176</v>
      </c>
      <c r="I61" s="30">
        <f t="shared" si="8"/>
        <v>1234248</v>
      </c>
      <c r="J61" s="30">
        <f t="shared" si="26"/>
        <v>5096584.9375</v>
      </c>
      <c r="K61" s="30">
        <f t="shared" si="89"/>
        <v>4994766</v>
      </c>
      <c r="L61" s="30">
        <f t="shared" si="98"/>
        <v>24973830</v>
      </c>
      <c r="M61" s="30">
        <f t="shared" si="81"/>
        <v>11256668.029206453</v>
      </c>
      <c r="N61" s="30">
        <f t="shared" si="85"/>
        <v>5114281.41297743</v>
      </c>
      <c r="O61" s="30"/>
      <c r="P61" s="30">
        <f t="shared" si="11"/>
        <v>173337938.37968388</v>
      </c>
      <c r="Q61" s="30"/>
      <c r="R61" s="30"/>
      <c r="S61" s="30"/>
      <c r="T61" s="30"/>
      <c r="U61" s="30">
        <f t="shared" si="90"/>
        <v>0</v>
      </c>
      <c r="V61" s="30">
        <f t="shared" si="88"/>
        <v>173337938.37968388</v>
      </c>
      <c r="W61" s="30">
        <f t="shared" si="91"/>
        <v>7492149.0000000009</v>
      </c>
      <c r="X61" s="30">
        <v>0</v>
      </c>
      <c r="Y61" s="30">
        <f t="shared" si="59"/>
        <v>665968.80000000005</v>
      </c>
      <c r="Z61" s="30">
        <f t="shared" si="92"/>
        <v>8158117.8000000007</v>
      </c>
      <c r="AA61" s="30"/>
      <c r="AB61" s="30"/>
      <c r="AC61" s="30"/>
      <c r="AD61" s="30"/>
      <c r="AE61" s="30">
        <f t="shared" si="93"/>
        <v>0</v>
      </c>
      <c r="AF61" s="30">
        <f t="shared" si="94"/>
        <v>8158117.8000000007</v>
      </c>
      <c r="AG61" s="30">
        <f t="shared" si="28"/>
        <v>14956012.799999999</v>
      </c>
      <c r="AH61" s="30">
        <f t="shared" si="29"/>
        <v>10397033.272500001</v>
      </c>
      <c r="AI61" s="30">
        <f t="shared" si="30"/>
        <v>10193169.875</v>
      </c>
      <c r="AJ61" s="31">
        <f t="shared" si="16"/>
        <v>5544531.528830274</v>
      </c>
      <c r="AK61" s="31">
        <f t="shared" si="17"/>
        <v>803245.89726272668</v>
      </c>
      <c r="AL61" s="30">
        <f t="shared" si="18"/>
        <v>4199763.1236646343</v>
      </c>
      <c r="AM61" s="31">
        <f t="shared" si="19"/>
        <v>783614.92320068472</v>
      </c>
      <c r="AN61" s="31">
        <f t="shared" si="20"/>
        <v>783614.92320068472</v>
      </c>
      <c r="AO61" s="30">
        <f t="shared" si="21"/>
        <v>1442279.5564265014</v>
      </c>
      <c r="AP61" s="30">
        <v>0</v>
      </c>
      <c r="AQ61" s="32">
        <f t="shared" si="95"/>
        <v>49103265.900085501</v>
      </c>
      <c r="AR61" s="31">
        <f t="shared" si="22"/>
        <v>520990.06236493692</v>
      </c>
      <c r="AS61" s="31">
        <f t="shared" si="23"/>
        <v>491388.58728514449</v>
      </c>
      <c r="AT61" s="31">
        <f t="shared" si="96"/>
        <v>1012378.6496500814</v>
      </c>
      <c r="AU61" s="33">
        <f t="shared" si="97"/>
        <v>230599322.0797694</v>
      </c>
    </row>
    <row r="62" spans="1:47" ht="15" customHeight="1" x14ac:dyDescent="0.2">
      <c r="A62" s="41" t="s">
        <v>83</v>
      </c>
      <c r="B62" s="35">
        <v>11</v>
      </c>
      <c r="C62" s="35">
        <v>4</v>
      </c>
      <c r="D62" s="30">
        <v>1836730</v>
      </c>
      <c r="E62" s="30">
        <f t="shared" si="87"/>
        <v>88163040</v>
      </c>
      <c r="F62" s="30">
        <v>0</v>
      </c>
      <c r="G62" s="30">
        <v>0</v>
      </c>
      <c r="H62" s="30">
        <f t="shared" si="7"/>
        <v>793176</v>
      </c>
      <c r="I62" s="30">
        <f t="shared" si="8"/>
        <v>0</v>
      </c>
      <c r="J62" s="30">
        <f t="shared" si="26"/>
        <v>3715437.5486111115</v>
      </c>
      <c r="K62" s="30">
        <f t="shared" si="89"/>
        <v>2571422</v>
      </c>
      <c r="L62" s="30">
        <v>0</v>
      </c>
      <c r="M62" s="30">
        <f t="shared" si="81"/>
        <v>8181519.8268369827</v>
      </c>
      <c r="N62" s="30">
        <f t="shared" si="85"/>
        <v>3728338.3734326777</v>
      </c>
      <c r="O62" s="30"/>
      <c r="P62" s="30">
        <f t="shared" si="11"/>
        <v>107152933.74888077</v>
      </c>
      <c r="Q62" s="30"/>
      <c r="R62" s="30"/>
      <c r="S62" s="30"/>
      <c r="T62" s="30"/>
      <c r="U62" s="30">
        <f t="shared" si="90"/>
        <v>0</v>
      </c>
      <c r="V62" s="30">
        <f t="shared" si="88"/>
        <v>107152933.74888077</v>
      </c>
      <c r="W62" s="30">
        <f t="shared" si="91"/>
        <v>5510190</v>
      </c>
      <c r="X62" s="30">
        <v>0</v>
      </c>
      <c r="Y62" s="30">
        <f t="shared" si="59"/>
        <v>489794.66666666669</v>
      </c>
      <c r="Z62" s="30">
        <f t="shared" si="92"/>
        <v>5999984.666666667</v>
      </c>
      <c r="AA62" s="30"/>
      <c r="AB62" s="30"/>
      <c r="AC62" s="30"/>
      <c r="AD62" s="30"/>
      <c r="AE62" s="30">
        <f t="shared" si="93"/>
        <v>0</v>
      </c>
      <c r="AF62" s="30">
        <f t="shared" si="94"/>
        <v>5999984.666666667</v>
      </c>
      <c r="AG62" s="30">
        <f t="shared" si="28"/>
        <v>10960289.279999999</v>
      </c>
      <c r="AH62" s="30">
        <f t="shared" si="29"/>
        <v>7579492.599166668</v>
      </c>
      <c r="AI62" s="30">
        <f t="shared" si="30"/>
        <v>7430875.0972222229</v>
      </c>
      <c r="AJ62" s="31">
        <f t="shared" si="16"/>
        <v>4077791.5902160099</v>
      </c>
      <c r="AK62" s="31">
        <f t="shared" si="17"/>
        <v>590756.73890603404</v>
      </c>
      <c r="AL62" s="30">
        <f t="shared" si="18"/>
        <v>3088765.6887744269</v>
      </c>
      <c r="AM62" s="31">
        <f t="shared" si="19"/>
        <v>576318.90578673501</v>
      </c>
      <c r="AN62" s="31">
        <f t="shared" si="20"/>
        <v>576318.90578673501</v>
      </c>
      <c r="AO62" s="30">
        <f t="shared" si="21"/>
        <v>1060741.6362148891</v>
      </c>
      <c r="AP62" s="30">
        <v>0</v>
      </c>
      <c r="AQ62" s="32">
        <f t="shared" si="95"/>
        <v>35941350.442073725</v>
      </c>
      <c r="AR62" s="31">
        <f t="shared" si="22"/>
        <v>383168.33150844328</v>
      </c>
      <c r="AS62" s="31">
        <f t="shared" si="23"/>
        <v>361397.57495115628</v>
      </c>
      <c r="AT62" s="31">
        <f t="shared" si="96"/>
        <v>744565.9064595995</v>
      </c>
      <c r="AU62" s="33">
        <f t="shared" si="97"/>
        <v>149094268.85762116</v>
      </c>
    </row>
    <row r="63" spans="1:47" ht="15" customHeight="1" x14ac:dyDescent="0.2">
      <c r="A63" s="41" t="s">
        <v>83</v>
      </c>
      <c r="B63" s="35">
        <v>12</v>
      </c>
      <c r="C63" s="35">
        <v>4</v>
      </c>
      <c r="D63" s="30">
        <v>1947688</v>
      </c>
      <c r="E63" s="30">
        <f t="shared" si="87"/>
        <v>93489024</v>
      </c>
      <c r="F63" s="30">
        <v>0</v>
      </c>
      <c r="G63" s="30">
        <v>0</v>
      </c>
      <c r="H63" s="30">
        <f t="shared" si="7"/>
        <v>0</v>
      </c>
      <c r="I63" s="30">
        <f t="shared" si="8"/>
        <v>0</v>
      </c>
      <c r="J63" s="30">
        <f t="shared" si="26"/>
        <v>3904843.9277777779</v>
      </c>
      <c r="K63" s="30">
        <f t="shared" si="89"/>
        <v>2726763.1999999997</v>
      </c>
      <c r="L63" s="30">
        <v>0</v>
      </c>
      <c r="M63" s="30">
        <f t="shared" si="81"/>
        <v>8669919.461784659</v>
      </c>
      <c r="N63" s="30">
        <f t="shared" si="85"/>
        <v>3918402.4136381173</v>
      </c>
      <c r="O63" s="30"/>
      <c r="P63" s="30">
        <f t="shared" si="11"/>
        <v>112708953.00320056</v>
      </c>
      <c r="Q63" s="30"/>
      <c r="R63" s="30"/>
      <c r="S63" s="30"/>
      <c r="T63" s="30"/>
      <c r="U63" s="30">
        <f t="shared" si="90"/>
        <v>0</v>
      </c>
      <c r="V63" s="30">
        <f t="shared" si="88"/>
        <v>112708953.00320056</v>
      </c>
      <c r="W63" s="30">
        <f t="shared" si="91"/>
        <v>5843064</v>
      </c>
      <c r="X63" s="30">
        <v>0</v>
      </c>
      <c r="Y63" s="30">
        <f t="shared" si="59"/>
        <v>519383.46666666667</v>
      </c>
      <c r="Z63" s="30">
        <f t="shared" si="92"/>
        <v>6362447.4666666668</v>
      </c>
      <c r="AA63" s="30"/>
      <c r="AB63" s="30"/>
      <c r="AC63" s="30"/>
      <c r="AD63" s="30"/>
      <c r="AE63" s="30">
        <f t="shared" si="93"/>
        <v>0</v>
      </c>
      <c r="AF63" s="30">
        <f t="shared" si="94"/>
        <v>6362447.4666666668</v>
      </c>
      <c r="AG63" s="30">
        <f t="shared" si="28"/>
        <v>11218682.879999999</v>
      </c>
      <c r="AH63" s="30">
        <f t="shared" si="29"/>
        <v>7965881.6126666674</v>
      </c>
      <c r="AI63" s="30">
        <f t="shared" si="30"/>
        <v>7809687.8555555558</v>
      </c>
      <c r="AJ63" s="31">
        <f t="shared" si="16"/>
        <v>4324133.5126908366</v>
      </c>
      <c r="AK63" s="31">
        <f t="shared" si="17"/>
        <v>626444.72039244499</v>
      </c>
      <c r="AL63" s="30">
        <f t="shared" si="18"/>
        <v>3275359.9423092594</v>
      </c>
      <c r="AM63" s="31">
        <f t="shared" si="19"/>
        <v>611134.68880780204</v>
      </c>
      <c r="AN63" s="31">
        <f t="shared" si="20"/>
        <v>611134.68880780204</v>
      </c>
      <c r="AO63" s="30">
        <f t="shared" si="21"/>
        <v>1124821.6972315498</v>
      </c>
      <c r="AP63" s="30">
        <v>0</v>
      </c>
      <c r="AQ63" s="32">
        <f t="shared" si="95"/>
        <v>37567281.598461911</v>
      </c>
      <c r="AR63" s="31">
        <f t="shared" si="22"/>
        <v>406315.76838131732</v>
      </c>
      <c r="AS63" s="31">
        <f t="shared" si="23"/>
        <v>383229.82689969003</v>
      </c>
      <c r="AT63" s="31">
        <f t="shared" si="96"/>
        <v>789545.59528100735</v>
      </c>
      <c r="AU63" s="33">
        <f t="shared" si="97"/>
        <v>156638682.06832916</v>
      </c>
    </row>
    <row r="64" spans="1:47" ht="15" customHeight="1" x14ac:dyDescent="0.2">
      <c r="A64" s="41" t="s">
        <v>83</v>
      </c>
      <c r="B64" s="35">
        <v>13</v>
      </c>
      <c r="C64" s="35">
        <v>2</v>
      </c>
      <c r="D64" s="30">
        <v>2077050</v>
      </c>
      <c r="E64" s="30">
        <f t="shared" si="87"/>
        <v>49849200</v>
      </c>
      <c r="F64" s="30">
        <v>0</v>
      </c>
      <c r="G64" s="30">
        <v>0</v>
      </c>
      <c r="H64" s="30">
        <f t="shared" si="7"/>
        <v>0</v>
      </c>
      <c r="I64" s="30">
        <f t="shared" si="8"/>
        <v>0</v>
      </c>
      <c r="J64" s="30">
        <f t="shared" si="26"/>
        <v>2082098.3854166667</v>
      </c>
      <c r="K64" s="30">
        <f t="shared" si="89"/>
        <v>1453935</v>
      </c>
      <c r="L64" s="30">
        <v>0</v>
      </c>
      <c r="M64" s="30">
        <f t="shared" si="81"/>
        <v>4622880.1065930026</v>
      </c>
      <c r="N64" s="30">
        <f t="shared" si="85"/>
        <v>2089327.8936993636</v>
      </c>
      <c r="O64" s="30"/>
      <c r="P64" s="30">
        <f t="shared" si="11"/>
        <v>60097441.385709032</v>
      </c>
      <c r="Q64" s="30"/>
      <c r="R64" s="30"/>
      <c r="S64" s="30"/>
      <c r="T64" s="30"/>
      <c r="U64" s="30">
        <f t="shared" si="90"/>
        <v>0</v>
      </c>
      <c r="V64" s="30">
        <f t="shared" si="88"/>
        <v>60097441.385709032</v>
      </c>
      <c r="W64" s="30">
        <f t="shared" si="91"/>
        <v>3115575</v>
      </c>
      <c r="X64" s="30">
        <v>0</v>
      </c>
      <c r="Y64" s="30">
        <f t="shared" si="59"/>
        <v>276940</v>
      </c>
      <c r="Z64" s="30">
        <f t="shared" si="92"/>
        <v>3392515</v>
      </c>
      <c r="AA64" s="30"/>
      <c r="AB64" s="30"/>
      <c r="AC64" s="30"/>
      <c r="AD64" s="30"/>
      <c r="AE64" s="30">
        <f t="shared" si="93"/>
        <v>0</v>
      </c>
      <c r="AF64" s="30">
        <f t="shared" si="94"/>
        <v>3392515</v>
      </c>
      <c r="AG64" s="30">
        <f t="shared" si="28"/>
        <v>5981904</v>
      </c>
      <c r="AH64" s="30">
        <f t="shared" si="29"/>
        <v>4247480.7062500007</v>
      </c>
      <c r="AI64" s="30">
        <f t="shared" si="30"/>
        <v>4164196.7708333335</v>
      </c>
      <c r="AJ64" s="31">
        <f t="shared" si="16"/>
        <v>2305667.4150414495</v>
      </c>
      <c r="AK64" s="31">
        <f t="shared" si="17"/>
        <v>334026.03663706098</v>
      </c>
      <c r="AL64" s="30">
        <f t="shared" si="18"/>
        <v>1746451.7849299908</v>
      </c>
      <c r="AM64" s="31">
        <f t="shared" si="19"/>
        <v>325862.58820412849</v>
      </c>
      <c r="AN64" s="31">
        <f t="shared" si="20"/>
        <v>325862.58820412849</v>
      </c>
      <c r="AO64" s="30">
        <f t="shared" si="21"/>
        <v>599765.18473050883</v>
      </c>
      <c r="AP64" s="30">
        <v>0</v>
      </c>
      <c r="AQ64" s="32">
        <f t="shared" si="95"/>
        <v>20031217.074830595</v>
      </c>
      <c r="AR64" s="31">
        <f t="shared" si="22"/>
        <v>216651.27235892374</v>
      </c>
      <c r="AS64" s="31">
        <f t="shared" si="23"/>
        <v>204341.63787064486</v>
      </c>
      <c r="AT64" s="31">
        <f t="shared" si="96"/>
        <v>420992.9102295686</v>
      </c>
      <c r="AU64" s="33">
        <f t="shared" si="97"/>
        <v>83521173.460539624</v>
      </c>
    </row>
    <row r="65" spans="1:47" ht="15" customHeight="1" x14ac:dyDescent="0.2">
      <c r="A65" s="41" t="s">
        <v>83</v>
      </c>
      <c r="B65" s="35">
        <v>14</v>
      </c>
      <c r="C65" s="35">
        <v>1</v>
      </c>
      <c r="D65" s="30">
        <v>2152916</v>
      </c>
      <c r="E65" s="30">
        <f t="shared" si="87"/>
        <v>25834992</v>
      </c>
      <c r="F65" s="30">
        <v>0</v>
      </c>
      <c r="G65" s="30">
        <v>0</v>
      </c>
      <c r="H65" s="30">
        <f t="shared" si="7"/>
        <v>0</v>
      </c>
      <c r="I65" s="30">
        <f t="shared" si="8"/>
        <v>0</v>
      </c>
      <c r="J65" s="30">
        <f t="shared" si="26"/>
        <v>1079074.3909722222</v>
      </c>
      <c r="K65" s="30">
        <f t="shared" si="89"/>
        <v>753520.6</v>
      </c>
      <c r="L65" s="30">
        <v>0</v>
      </c>
      <c r="M65" s="30">
        <f t="shared" si="81"/>
        <v>2395867.3473353507</v>
      </c>
      <c r="N65" s="30">
        <f t="shared" si="85"/>
        <v>1082821.1770519868</v>
      </c>
      <c r="O65" s="30"/>
      <c r="P65" s="30">
        <f t="shared" si="11"/>
        <v>31146275.515359562</v>
      </c>
      <c r="Q65" s="30"/>
      <c r="R65" s="30"/>
      <c r="S65" s="30"/>
      <c r="T65" s="30"/>
      <c r="U65" s="30">
        <f t="shared" si="90"/>
        <v>0</v>
      </c>
      <c r="V65" s="30">
        <f t="shared" si="88"/>
        <v>31146275.515359562</v>
      </c>
      <c r="W65" s="30">
        <f t="shared" si="91"/>
        <v>1614687</v>
      </c>
      <c r="X65" s="30">
        <v>0</v>
      </c>
      <c r="Y65" s="30">
        <f t="shared" si="59"/>
        <v>143527.73333333334</v>
      </c>
      <c r="Z65" s="30">
        <f t="shared" si="92"/>
        <v>1758214.7333333334</v>
      </c>
      <c r="AA65" s="30"/>
      <c r="AB65" s="30"/>
      <c r="AC65" s="30"/>
      <c r="AD65" s="30"/>
      <c r="AE65" s="30">
        <f t="shared" si="93"/>
        <v>0</v>
      </c>
      <c r="AF65" s="30">
        <f t="shared" si="94"/>
        <v>1758214.7333333334</v>
      </c>
      <c r="AG65" s="30">
        <f t="shared" si="28"/>
        <v>3100199.04</v>
      </c>
      <c r="AH65" s="30">
        <f t="shared" si="29"/>
        <v>2201311.7575833336</v>
      </c>
      <c r="AI65" s="30">
        <f t="shared" si="30"/>
        <v>2158148.7819444444</v>
      </c>
      <c r="AJ65" s="31">
        <f t="shared" si="16"/>
        <v>1194941.929303911</v>
      </c>
      <c r="AK65" s="31">
        <f t="shared" si="17"/>
        <v>173113.3094274367</v>
      </c>
      <c r="AL65" s="30">
        <f t="shared" si="18"/>
        <v>905121.20339046617</v>
      </c>
      <c r="AM65" s="31">
        <f t="shared" si="19"/>
        <v>168882.49679740003</v>
      </c>
      <c r="AN65" s="31">
        <f t="shared" si="20"/>
        <v>168882.49679740003</v>
      </c>
      <c r="AO65" s="30">
        <f t="shared" si="21"/>
        <v>310836.05653433193</v>
      </c>
      <c r="AP65" s="30">
        <v>0</v>
      </c>
      <c r="AQ65" s="32">
        <f t="shared" si="95"/>
        <v>10381437.071778722</v>
      </c>
      <c r="AR65" s="31">
        <f t="shared" si="22"/>
        <v>112282.32124452583</v>
      </c>
      <c r="AS65" s="31">
        <f t="shared" si="23"/>
        <v>105902.69411856175</v>
      </c>
      <c r="AT65" s="31">
        <f t="shared" si="96"/>
        <v>218185.01536308759</v>
      </c>
      <c r="AU65" s="33">
        <f t="shared" si="97"/>
        <v>43285927.320471615</v>
      </c>
    </row>
    <row r="66" spans="1:47" ht="15" customHeight="1" x14ac:dyDescent="0.2">
      <c r="A66" s="41" t="s">
        <v>83</v>
      </c>
      <c r="B66" s="35">
        <v>15</v>
      </c>
      <c r="C66" s="35">
        <v>18</v>
      </c>
      <c r="D66" s="30">
        <v>2250064</v>
      </c>
      <c r="E66" s="30">
        <f t="shared" si="87"/>
        <v>486013824</v>
      </c>
      <c r="F66" s="30">
        <v>0</v>
      </c>
      <c r="G66" s="30">
        <v>0</v>
      </c>
      <c r="H66" s="30">
        <f t="shared" si="7"/>
        <v>0</v>
      </c>
      <c r="I66" s="30">
        <f t="shared" si="8"/>
        <v>0</v>
      </c>
      <c r="J66" s="30">
        <f t="shared" si="26"/>
        <v>20299796.150000002</v>
      </c>
      <c r="K66" s="30">
        <f t="shared" si="89"/>
        <v>14175403.199999999</v>
      </c>
      <c r="L66" s="30">
        <v>0</v>
      </c>
      <c r="M66" s="30">
        <f t="shared" si="81"/>
        <v>45071608.741941556</v>
      </c>
      <c r="N66" s="30">
        <f t="shared" si="85"/>
        <v>20370281.553298611</v>
      </c>
      <c r="O66" s="30"/>
      <c r="P66" s="30">
        <f t="shared" si="11"/>
        <v>585930913.64524007</v>
      </c>
      <c r="Q66" s="30"/>
      <c r="R66" s="30"/>
      <c r="S66" s="30"/>
      <c r="T66" s="30"/>
      <c r="U66" s="30">
        <f t="shared" si="90"/>
        <v>0</v>
      </c>
      <c r="V66" s="30">
        <f t="shared" si="88"/>
        <v>585930913.64524007</v>
      </c>
      <c r="W66" s="30">
        <f t="shared" si="91"/>
        <v>30375863.999999996</v>
      </c>
      <c r="X66" s="30">
        <v>0</v>
      </c>
      <c r="Y66" s="30">
        <f t="shared" si="59"/>
        <v>2700076.8</v>
      </c>
      <c r="Z66" s="30">
        <f t="shared" si="92"/>
        <v>33075940.799999997</v>
      </c>
      <c r="AA66" s="30"/>
      <c r="AB66" s="30"/>
      <c r="AC66" s="30"/>
      <c r="AD66" s="30"/>
      <c r="AE66" s="30">
        <f t="shared" si="93"/>
        <v>0</v>
      </c>
      <c r="AF66" s="30">
        <f t="shared" si="94"/>
        <v>33075940.799999997</v>
      </c>
      <c r="AG66" s="30">
        <f t="shared" si="28"/>
        <v>58321658.880000003</v>
      </c>
      <c r="AH66" s="30">
        <f t="shared" si="29"/>
        <v>41411584.146000005</v>
      </c>
      <c r="AI66" s="30">
        <f t="shared" si="30"/>
        <v>40599592.300000004</v>
      </c>
      <c r="AJ66" s="31">
        <f t="shared" si="16"/>
        <v>22479522.986456953</v>
      </c>
      <c r="AK66" s="31">
        <f t="shared" si="17"/>
        <v>3256647.4764197245</v>
      </c>
      <c r="AL66" s="30">
        <f t="shared" si="18"/>
        <v>17027348.692164578</v>
      </c>
      <c r="AM66" s="31">
        <f t="shared" si="19"/>
        <v>3177056.4540980756</v>
      </c>
      <c r="AN66" s="31">
        <f t="shared" si="20"/>
        <v>3177056.4540980756</v>
      </c>
      <c r="AO66" s="30">
        <f t="shared" si="21"/>
        <v>5847519.5375841744</v>
      </c>
      <c r="AP66" s="30">
        <v>0</v>
      </c>
      <c r="AQ66" s="32">
        <f t="shared" si="95"/>
        <v>195297986.92682159</v>
      </c>
      <c r="AR66" s="31">
        <f t="shared" si="22"/>
        <v>2112280.9062858792</v>
      </c>
      <c r="AS66" s="31">
        <f t="shared" si="23"/>
        <v>1992265.890404166</v>
      </c>
      <c r="AT66" s="31">
        <f t="shared" si="96"/>
        <v>4104546.7966900449</v>
      </c>
      <c r="AU66" s="33">
        <f t="shared" si="97"/>
        <v>814304841.37206161</v>
      </c>
    </row>
    <row r="67" spans="1:47" ht="15" customHeight="1" x14ac:dyDescent="0.2">
      <c r="A67" s="41" t="s">
        <v>83</v>
      </c>
      <c r="B67" s="35">
        <v>16</v>
      </c>
      <c r="C67" s="35">
        <v>8</v>
      </c>
      <c r="D67" s="30">
        <v>2542265</v>
      </c>
      <c r="E67" s="30">
        <f t="shared" si="87"/>
        <v>244057440</v>
      </c>
      <c r="F67" s="30">
        <v>0</v>
      </c>
      <c r="G67" s="30">
        <v>0</v>
      </c>
      <c r="H67" s="30">
        <f t="shared" si="7"/>
        <v>0</v>
      </c>
      <c r="I67" s="30">
        <f t="shared" si="8"/>
        <v>0</v>
      </c>
      <c r="J67" s="30">
        <f t="shared" si="26"/>
        <v>10193776.465277778</v>
      </c>
      <c r="K67" s="30">
        <f t="shared" si="89"/>
        <v>7118342</v>
      </c>
      <c r="L67" s="30">
        <v>0</v>
      </c>
      <c r="M67" s="30">
        <f t="shared" si="81"/>
        <v>22633227.498977222</v>
      </c>
      <c r="N67" s="30">
        <f t="shared" si="85"/>
        <v>10229171.522448881</v>
      </c>
      <c r="O67" s="30"/>
      <c r="P67" s="30">
        <f t="shared" si="11"/>
        <v>294231957.48670393</v>
      </c>
      <c r="Q67" s="30"/>
      <c r="R67" s="30"/>
      <c r="S67" s="30"/>
      <c r="T67" s="30"/>
      <c r="U67" s="30">
        <f t="shared" si="90"/>
        <v>0</v>
      </c>
      <c r="V67" s="30">
        <f t="shared" si="88"/>
        <v>294231957.48670393</v>
      </c>
      <c r="W67" s="30">
        <f t="shared" si="91"/>
        <v>15253590</v>
      </c>
      <c r="X67" s="30">
        <v>0</v>
      </c>
      <c r="Y67" s="30">
        <f t="shared" si="59"/>
        <v>1355874.6666666667</v>
      </c>
      <c r="Z67" s="30">
        <f t="shared" si="92"/>
        <v>16609464.666666666</v>
      </c>
      <c r="AA67" s="30"/>
      <c r="AB67" s="30"/>
      <c r="AC67" s="30"/>
      <c r="AD67" s="30"/>
      <c r="AE67" s="30">
        <f t="shared" si="93"/>
        <v>0</v>
      </c>
      <c r="AF67" s="30">
        <f t="shared" si="94"/>
        <v>16609464.666666666</v>
      </c>
      <c r="AG67" s="30">
        <f t="shared" si="28"/>
        <v>29286892.799999997</v>
      </c>
      <c r="AH67" s="30">
        <f t="shared" si="29"/>
        <v>20795303.989166666</v>
      </c>
      <c r="AI67" s="30">
        <f t="shared" si="30"/>
        <v>20387552.930555556</v>
      </c>
      <c r="AJ67" s="31">
        <f t="shared" si="16"/>
        <v>11288351.403963026</v>
      </c>
      <c r="AK67" s="31">
        <f t="shared" si="17"/>
        <v>1635363.0428369422</v>
      </c>
      <c r="AL67" s="30">
        <f t="shared" si="18"/>
        <v>8550479.2797766887</v>
      </c>
      <c r="AM67" s="31">
        <f t="shared" si="19"/>
        <v>1595395.4941879469</v>
      </c>
      <c r="AN67" s="31">
        <f t="shared" si="20"/>
        <v>1595395.4941879469</v>
      </c>
      <c r="AO67" s="30">
        <f t="shared" si="21"/>
        <v>2936399.2919937549</v>
      </c>
      <c r="AP67" s="30">
        <v>0</v>
      </c>
      <c r="AQ67" s="32">
        <f t="shared" si="95"/>
        <v>98071133.726668537</v>
      </c>
      <c r="AR67" s="31">
        <f t="shared" si="22"/>
        <v>1060706.1879561096</v>
      </c>
      <c r="AS67" s="31">
        <f t="shared" si="23"/>
        <v>1000439.2653064972</v>
      </c>
      <c r="AT67" s="31">
        <f t="shared" si="96"/>
        <v>2061145.4532626069</v>
      </c>
      <c r="AU67" s="33">
        <f t="shared" si="97"/>
        <v>408912555.88003916</v>
      </c>
    </row>
    <row r="68" spans="1:47" ht="15" customHeight="1" x14ac:dyDescent="0.2">
      <c r="A68" s="41" t="s">
        <v>83</v>
      </c>
      <c r="B68" s="35">
        <v>17</v>
      </c>
      <c r="C68" s="35">
        <v>8</v>
      </c>
      <c r="D68" s="30">
        <v>2721555</v>
      </c>
      <c r="E68" s="30">
        <f t="shared" si="87"/>
        <v>261269280</v>
      </c>
      <c r="F68" s="30">
        <v>0</v>
      </c>
      <c r="G68" s="30">
        <v>0</v>
      </c>
      <c r="H68" s="30">
        <f t="shared" si="7"/>
        <v>0</v>
      </c>
      <c r="I68" s="30">
        <f t="shared" si="8"/>
        <v>0</v>
      </c>
      <c r="J68" s="30">
        <f t="shared" si="26"/>
        <v>10912679.5625</v>
      </c>
      <c r="K68" s="30">
        <f t="shared" si="89"/>
        <v>7620353.9999999991</v>
      </c>
      <c r="L68" s="30">
        <v>0</v>
      </c>
      <c r="M68" s="30">
        <f t="shared" si="81"/>
        <v>24229407.031123411</v>
      </c>
      <c r="N68" s="30">
        <f t="shared" si="85"/>
        <v>10950570.810980903</v>
      </c>
      <c r="O68" s="30"/>
      <c r="P68" s="30">
        <f t="shared" si="11"/>
        <v>314982291.40460432</v>
      </c>
      <c r="Q68" s="30"/>
      <c r="R68" s="30"/>
      <c r="S68" s="30"/>
      <c r="T68" s="30"/>
      <c r="U68" s="30">
        <f t="shared" si="90"/>
        <v>0</v>
      </c>
      <c r="V68" s="30">
        <f t="shared" si="88"/>
        <v>314982291.40460432</v>
      </c>
      <c r="W68" s="30">
        <f t="shared" si="91"/>
        <v>16329330</v>
      </c>
      <c r="X68" s="30">
        <v>0</v>
      </c>
      <c r="Y68" s="30">
        <f t="shared" si="59"/>
        <v>1451496</v>
      </c>
      <c r="Z68" s="30">
        <f t="shared" si="92"/>
        <v>17780826</v>
      </c>
      <c r="AA68" s="30"/>
      <c r="AB68" s="30"/>
      <c r="AC68" s="30"/>
      <c r="AD68" s="30"/>
      <c r="AE68" s="30">
        <f t="shared" si="93"/>
        <v>0</v>
      </c>
      <c r="AF68" s="30">
        <f t="shared" si="94"/>
        <v>17780826</v>
      </c>
      <c r="AG68" s="30">
        <f t="shared" si="28"/>
        <v>31352313.599999998</v>
      </c>
      <c r="AH68" s="30">
        <f t="shared" si="29"/>
        <v>22261866.307500001</v>
      </c>
      <c r="AI68" s="30">
        <f t="shared" si="30"/>
        <v>21825359.125</v>
      </c>
      <c r="AJ68" s="31">
        <f t="shared" si="16"/>
        <v>12084448.00412726</v>
      </c>
      <c r="AK68" s="31">
        <f t="shared" si="17"/>
        <v>1750694.9378007778</v>
      </c>
      <c r="AL68" s="30">
        <f t="shared" si="18"/>
        <v>9153490.9367326554</v>
      </c>
      <c r="AM68" s="31">
        <f t="shared" si="19"/>
        <v>1707908.7287063613</v>
      </c>
      <c r="AN68" s="31">
        <f t="shared" si="20"/>
        <v>1707908.7287063613</v>
      </c>
      <c r="AO68" s="30">
        <f t="shared" si="21"/>
        <v>3143485.110766212</v>
      </c>
      <c r="AP68" s="30">
        <v>0</v>
      </c>
      <c r="AQ68" s="32">
        <f t="shared" si="95"/>
        <v>104987475.47933963</v>
      </c>
      <c r="AR68" s="31">
        <f t="shared" si="22"/>
        <v>1135511.1404054612</v>
      </c>
      <c r="AS68" s="31">
        <f t="shared" si="23"/>
        <v>1070993.9698226675</v>
      </c>
      <c r="AT68" s="31">
        <f t="shared" si="96"/>
        <v>2206505.1102281287</v>
      </c>
      <c r="AU68" s="33">
        <f t="shared" si="97"/>
        <v>437750592.88394392</v>
      </c>
    </row>
    <row r="69" spans="1:47" ht="15" customHeight="1" x14ac:dyDescent="0.2">
      <c r="A69" s="41" t="s">
        <v>84</v>
      </c>
      <c r="B69" s="78" t="s">
        <v>108</v>
      </c>
      <c r="C69" s="35">
        <v>5</v>
      </c>
      <c r="D69" s="30">
        <v>1150436</v>
      </c>
      <c r="E69" s="30">
        <f t="shared" si="87"/>
        <v>69026160</v>
      </c>
      <c r="F69" s="30">
        <v>0</v>
      </c>
      <c r="G69" s="30">
        <v>0</v>
      </c>
      <c r="H69" s="30">
        <f t="shared" si="7"/>
        <v>793176</v>
      </c>
      <c r="I69" s="30">
        <f t="shared" si="8"/>
        <v>1234248</v>
      </c>
      <c r="J69" s="30">
        <f t="shared" si="26"/>
        <v>2970552.4236111115</v>
      </c>
      <c r="K69" s="30">
        <f t="shared" si="89"/>
        <v>2876090</v>
      </c>
      <c r="L69" s="30">
        <f t="shared" ref="L69:L73" si="99">+((((D69/30)/8)*50)*12)*C69</f>
        <v>14380450</v>
      </c>
      <c r="M69" s="30">
        <f t="shared" si="81"/>
        <v>6487805.7721133139</v>
      </c>
      <c r="N69" s="30">
        <f t="shared" si="85"/>
        <v>2980866.8417486497</v>
      </c>
      <c r="O69" s="30"/>
      <c r="P69" s="30">
        <f t="shared" si="11"/>
        <v>100749349.03747307</v>
      </c>
      <c r="Q69" s="30"/>
      <c r="R69" s="30"/>
      <c r="S69" s="30"/>
      <c r="T69" s="30"/>
      <c r="U69" s="30">
        <f t="shared" si="90"/>
        <v>0</v>
      </c>
      <c r="V69" s="30">
        <f t="shared" si="88"/>
        <v>100749349.03747307</v>
      </c>
      <c r="W69" s="30">
        <f t="shared" si="91"/>
        <v>4314135</v>
      </c>
      <c r="X69" s="30">
        <v>0</v>
      </c>
      <c r="Y69" s="30">
        <f t="shared" si="59"/>
        <v>383478.66666666669</v>
      </c>
      <c r="Z69" s="30">
        <f t="shared" si="92"/>
        <v>4697613.666666667</v>
      </c>
      <c r="AA69" s="30"/>
      <c r="AB69" s="30"/>
      <c r="AC69" s="30"/>
      <c r="AD69" s="30"/>
      <c r="AE69" s="30">
        <f t="shared" si="93"/>
        <v>0</v>
      </c>
      <c r="AF69" s="30">
        <f t="shared" si="94"/>
        <v>4697613.666666667</v>
      </c>
      <c r="AG69" s="30">
        <f t="shared" si="28"/>
        <v>8759044.8000000007</v>
      </c>
      <c r="AH69" s="30">
        <f t="shared" si="29"/>
        <v>6059926.9441666678</v>
      </c>
      <c r="AI69" s="30">
        <f t="shared" si="30"/>
        <v>5941104.8472222229</v>
      </c>
      <c r="AJ69" s="31">
        <f t="shared" si="16"/>
        <v>3192656.409680346</v>
      </c>
      <c r="AK69" s="31">
        <f t="shared" si="17"/>
        <v>462525.67040344945</v>
      </c>
      <c r="AL69" s="30">
        <f t="shared" si="18"/>
        <v>2418310.8322473201</v>
      </c>
      <c r="AM69" s="31">
        <f t="shared" si="19"/>
        <v>451221.74781926861</v>
      </c>
      <c r="AN69" s="31">
        <f t="shared" si="20"/>
        <v>451221.74781926861</v>
      </c>
      <c r="AO69" s="30">
        <f t="shared" si="21"/>
        <v>830494.52355579752</v>
      </c>
      <c r="AP69" s="30">
        <v>0</v>
      </c>
      <c r="AQ69" s="32">
        <f t="shared" si="95"/>
        <v>28566507.522914343</v>
      </c>
      <c r="AR69" s="31">
        <f t="shared" si="22"/>
        <v>299996.89844672836</v>
      </c>
      <c r="AS69" s="31">
        <f t="shared" si="23"/>
        <v>282951.75429738482</v>
      </c>
      <c r="AT69" s="31">
        <f t="shared" si="96"/>
        <v>582948.65274411323</v>
      </c>
      <c r="AU69" s="33">
        <f t="shared" si="97"/>
        <v>134013470.22705409</v>
      </c>
    </row>
    <row r="70" spans="1:47" ht="15" customHeight="1" x14ac:dyDescent="0.2">
      <c r="A70" s="41" t="s">
        <v>84</v>
      </c>
      <c r="B70" s="78" t="s">
        <v>109</v>
      </c>
      <c r="C70" s="35">
        <v>2</v>
      </c>
      <c r="D70" s="30">
        <v>1384634</v>
      </c>
      <c r="E70" s="30">
        <f t="shared" si="87"/>
        <v>33231216</v>
      </c>
      <c r="F70" s="30">
        <v>0</v>
      </c>
      <c r="G70" s="30">
        <v>0</v>
      </c>
      <c r="H70" s="30">
        <f t="shared" si="7"/>
        <v>793176</v>
      </c>
      <c r="I70" s="30">
        <f t="shared" si="8"/>
        <v>1234248</v>
      </c>
      <c r="J70" s="30">
        <f t="shared" si="26"/>
        <v>1473917.7569444443</v>
      </c>
      <c r="K70" s="30">
        <f t="shared" si="89"/>
        <v>1384634</v>
      </c>
      <c r="L70" s="30">
        <f t="shared" si="99"/>
        <v>6923170</v>
      </c>
      <c r="M70" s="30">
        <f t="shared" si="81"/>
        <v>3130733.6069898563</v>
      </c>
      <c r="N70" s="30">
        <f t="shared" si="85"/>
        <v>1479035.5269338349</v>
      </c>
      <c r="O70" s="30"/>
      <c r="P70" s="30">
        <f t="shared" si="11"/>
        <v>49650130.890868135</v>
      </c>
      <c r="Q70" s="30"/>
      <c r="R70" s="30"/>
      <c r="S70" s="30"/>
      <c r="T70" s="30"/>
      <c r="U70" s="30">
        <f t="shared" si="90"/>
        <v>0</v>
      </c>
      <c r="V70" s="30">
        <f t="shared" si="88"/>
        <v>49650130.890868135</v>
      </c>
      <c r="W70" s="30">
        <f t="shared" si="91"/>
        <v>2076951</v>
      </c>
      <c r="X70" s="30">
        <v>0</v>
      </c>
      <c r="Y70" s="30">
        <f t="shared" si="59"/>
        <v>184617.86666666667</v>
      </c>
      <c r="Z70" s="30">
        <f t="shared" si="92"/>
        <v>2261568.8666666667</v>
      </c>
      <c r="AA70" s="30"/>
      <c r="AB70" s="30"/>
      <c r="AC70" s="30"/>
      <c r="AD70" s="30"/>
      <c r="AE70" s="30">
        <f t="shared" si="93"/>
        <v>0</v>
      </c>
      <c r="AF70" s="30">
        <f t="shared" si="94"/>
        <v>2261568.8666666667</v>
      </c>
      <c r="AG70" s="30">
        <f t="shared" si="28"/>
        <v>4178108.16</v>
      </c>
      <c r="AH70" s="30">
        <f t="shared" si="29"/>
        <v>3006792.2241666666</v>
      </c>
      <c r="AI70" s="30">
        <f t="shared" si="30"/>
        <v>2947835.5138888885</v>
      </c>
      <c r="AJ70" s="31">
        <f t="shared" si="16"/>
        <v>1537038.3455181639</v>
      </c>
      <c r="AK70" s="31">
        <f t="shared" si="17"/>
        <v>222673.41046817374</v>
      </c>
      <c r="AL70" s="30">
        <f t="shared" si="18"/>
        <v>1164245.6949879648</v>
      </c>
      <c r="AM70" s="31">
        <f t="shared" si="19"/>
        <v>217231.37091328338</v>
      </c>
      <c r="AN70" s="31">
        <f t="shared" si="20"/>
        <v>217231.37091328338</v>
      </c>
      <c r="AO70" s="30">
        <f t="shared" si="21"/>
        <v>399824.39844690473</v>
      </c>
      <c r="AP70" s="30">
        <v>0</v>
      </c>
      <c r="AQ70" s="32">
        <f t="shared" si="95"/>
        <v>13890980.48930333</v>
      </c>
      <c r="AR70" s="31">
        <f t="shared" si="22"/>
        <v>144427.29729733328</v>
      </c>
      <c r="AS70" s="31">
        <f t="shared" si="23"/>
        <v>136221.26545407309</v>
      </c>
      <c r="AT70" s="31">
        <f t="shared" si="96"/>
        <v>280648.56275140634</v>
      </c>
      <c r="AU70" s="33">
        <f t="shared" si="97"/>
        <v>65802680.24683813</v>
      </c>
    </row>
    <row r="71" spans="1:47" ht="15" customHeight="1" x14ac:dyDescent="0.2">
      <c r="A71" s="41" t="s">
        <v>84</v>
      </c>
      <c r="B71" s="78" t="s">
        <v>110</v>
      </c>
      <c r="C71" s="35">
        <v>4</v>
      </c>
      <c r="D71" s="30">
        <v>1475454</v>
      </c>
      <c r="E71" s="30">
        <f t="shared" si="87"/>
        <v>70821792</v>
      </c>
      <c r="F71" s="30">
        <v>0</v>
      </c>
      <c r="G71" s="30">
        <v>0</v>
      </c>
      <c r="H71" s="30">
        <f t="shared" si="7"/>
        <v>793176</v>
      </c>
      <c r="I71" s="30">
        <f t="shared" si="8"/>
        <v>1234248</v>
      </c>
      <c r="J71" s="30">
        <f t="shared" si="26"/>
        <v>3045630.2083333335</v>
      </c>
      <c r="K71" s="30">
        <f t="shared" si="89"/>
        <v>2950908</v>
      </c>
      <c r="L71" s="30">
        <f t="shared" si="99"/>
        <v>14754540</v>
      </c>
      <c r="M71" s="30">
        <f t="shared" si="81"/>
        <v>6656211.2934630597</v>
      </c>
      <c r="N71" s="30">
        <f t="shared" si="85"/>
        <v>3056205.3132233792</v>
      </c>
      <c r="O71" s="30"/>
      <c r="P71" s="30">
        <f t="shared" si="11"/>
        <v>103312710.81501977</v>
      </c>
      <c r="Q71" s="30"/>
      <c r="R71" s="30"/>
      <c r="S71" s="30"/>
      <c r="T71" s="30"/>
      <c r="U71" s="30">
        <f t="shared" si="90"/>
        <v>0</v>
      </c>
      <c r="V71" s="30">
        <f t="shared" si="88"/>
        <v>103312710.81501977</v>
      </c>
      <c r="W71" s="30">
        <f t="shared" si="91"/>
        <v>4426362</v>
      </c>
      <c r="X71" s="30">
        <v>0</v>
      </c>
      <c r="Y71" s="30">
        <f t="shared" si="59"/>
        <v>393454.4</v>
      </c>
      <c r="Z71" s="30">
        <f t="shared" si="92"/>
        <v>4819816.4000000004</v>
      </c>
      <c r="AA71" s="30"/>
      <c r="AB71" s="30"/>
      <c r="AC71" s="30"/>
      <c r="AD71" s="30"/>
      <c r="AE71" s="30">
        <f t="shared" si="93"/>
        <v>0</v>
      </c>
      <c r="AF71" s="30">
        <f t="shared" si="94"/>
        <v>4819816.4000000004</v>
      </c>
      <c r="AG71" s="30">
        <f t="shared" si="28"/>
        <v>8879339.5199999996</v>
      </c>
      <c r="AH71" s="30">
        <f t="shared" si="29"/>
        <v>6213085.625</v>
      </c>
      <c r="AI71" s="30">
        <f t="shared" si="30"/>
        <v>6091260.416666667</v>
      </c>
      <c r="AJ71" s="31">
        <f t="shared" si="16"/>
        <v>3275709.501641816</v>
      </c>
      <c r="AK71" s="31">
        <f t="shared" si="17"/>
        <v>474557.71585691068</v>
      </c>
      <c r="AL71" s="30">
        <f t="shared" si="18"/>
        <v>2481220.2613149364</v>
      </c>
      <c r="AM71" s="31">
        <f t="shared" si="19"/>
        <v>462959.7354094839</v>
      </c>
      <c r="AN71" s="31">
        <f t="shared" si="20"/>
        <v>462959.7354094839</v>
      </c>
      <c r="AO71" s="30">
        <f t="shared" si="21"/>
        <v>852098.83331780008</v>
      </c>
      <c r="AP71" s="30">
        <v>0</v>
      </c>
      <c r="AQ71" s="32">
        <f t="shared" si="95"/>
        <v>29193191.344617099</v>
      </c>
      <c r="AR71" s="31">
        <f t="shared" si="22"/>
        <v>307800.95462994487</v>
      </c>
      <c r="AS71" s="31">
        <f t="shared" si="23"/>
        <v>290312.401687773</v>
      </c>
      <c r="AT71" s="31">
        <f t="shared" si="96"/>
        <v>598113.35631771781</v>
      </c>
      <c r="AU71" s="33">
        <f t="shared" si="97"/>
        <v>137325718.55963689</v>
      </c>
    </row>
    <row r="72" spans="1:47" ht="15" customHeight="1" x14ac:dyDescent="0.2">
      <c r="A72" s="41" t="s">
        <v>84</v>
      </c>
      <c r="B72" s="78" t="s">
        <v>111</v>
      </c>
      <c r="C72" s="35">
        <v>4</v>
      </c>
      <c r="D72" s="30">
        <v>1512852</v>
      </c>
      <c r="E72" s="30">
        <f t="shared" si="87"/>
        <v>72616896</v>
      </c>
      <c r="F72" s="30">
        <v>0</v>
      </c>
      <c r="G72" s="30">
        <v>0</v>
      </c>
      <c r="H72" s="30">
        <f t="shared" si="7"/>
        <v>793176</v>
      </c>
      <c r="I72" s="30">
        <f t="shared" si="8"/>
        <v>1234248</v>
      </c>
      <c r="J72" s="30">
        <f t="shared" si="26"/>
        <v>3120685.9166666665</v>
      </c>
      <c r="K72" s="30">
        <f t="shared" si="89"/>
        <v>3025704</v>
      </c>
      <c r="L72" s="30">
        <f t="shared" si="99"/>
        <v>15128520</v>
      </c>
      <c r="M72" s="30">
        <f t="shared" si="81"/>
        <v>6824567.2956934795</v>
      </c>
      <c r="N72" s="30">
        <f t="shared" si="85"/>
        <v>3131521.6316550928</v>
      </c>
      <c r="O72" s="30"/>
      <c r="P72" s="30">
        <f t="shared" si="11"/>
        <v>105875318.84401524</v>
      </c>
      <c r="Q72" s="30"/>
      <c r="R72" s="30"/>
      <c r="S72" s="30"/>
      <c r="T72" s="30"/>
      <c r="U72" s="30">
        <f t="shared" si="90"/>
        <v>0</v>
      </c>
      <c r="V72" s="30">
        <f t="shared" si="88"/>
        <v>105875318.84401524</v>
      </c>
      <c r="W72" s="30">
        <f t="shared" si="91"/>
        <v>4538556</v>
      </c>
      <c r="X72" s="30">
        <v>0</v>
      </c>
      <c r="Y72" s="30">
        <f t="shared" si="59"/>
        <v>403427.2</v>
      </c>
      <c r="Z72" s="30">
        <f t="shared" si="92"/>
        <v>4941983.2</v>
      </c>
      <c r="AA72" s="30"/>
      <c r="AB72" s="30"/>
      <c r="AC72" s="30"/>
      <c r="AD72" s="30"/>
      <c r="AE72" s="30">
        <f t="shared" si="93"/>
        <v>0</v>
      </c>
      <c r="AF72" s="30">
        <f t="shared" si="94"/>
        <v>4941983.2</v>
      </c>
      <c r="AG72" s="30">
        <f t="shared" si="28"/>
        <v>9094752</v>
      </c>
      <c r="AH72" s="30">
        <f t="shared" si="29"/>
        <v>6366199.2700000005</v>
      </c>
      <c r="AI72" s="30">
        <f t="shared" si="30"/>
        <v>6241371.833333333</v>
      </c>
      <c r="AJ72" s="31">
        <f t="shared" si="16"/>
        <v>3358738.1721001295</v>
      </c>
      <c r="AK72" s="31">
        <f t="shared" si="17"/>
        <v>486586.22332486068</v>
      </c>
      <c r="AL72" s="30">
        <f t="shared" si="18"/>
        <v>2544111.1920607653</v>
      </c>
      <c r="AM72" s="31">
        <f t="shared" si="19"/>
        <v>474694.2714809872</v>
      </c>
      <c r="AN72" s="31">
        <f t="shared" si="20"/>
        <v>474694.2714809872</v>
      </c>
      <c r="AO72" s="30">
        <f t="shared" si="21"/>
        <v>873696.79039976862</v>
      </c>
      <c r="AP72" s="30">
        <v>0</v>
      </c>
      <c r="AQ72" s="32">
        <f t="shared" si="95"/>
        <v>29914844.024180833</v>
      </c>
      <c r="AR72" s="31">
        <f t="shared" si="22"/>
        <v>315602.71605473396</v>
      </c>
      <c r="AS72" s="31">
        <f t="shared" si="23"/>
        <v>297670.88470270898</v>
      </c>
      <c r="AT72" s="31">
        <f t="shared" si="96"/>
        <v>613273.60075744288</v>
      </c>
      <c r="AU72" s="33">
        <f t="shared" si="97"/>
        <v>140732146.06819609</v>
      </c>
    </row>
    <row r="73" spans="1:47" ht="15" customHeight="1" x14ac:dyDescent="0.2">
      <c r="A73" s="41" t="s">
        <v>84</v>
      </c>
      <c r="B73" s="78" t="s">
        <v>112</v>
      </c>
      <c r="C73" s="35">
        <v>13</v>
      </c>
      <c r="D73" s="30">
        <v>1664922</v>
      </c>
      <c r="E73" s="30">
        <f t="shared" si="87"/>
        <v>259727832</v>
      </c>
      <c r="F73" s="30">
        <v>0</v>
      </c>
      <c r="G73" s="30">
        <v>0</v>
      </c>
      <c r="H73" s="30">
        <f t="shared" si="7"/>
        <v>793176</v>
      </c>
      <c r="I73" s="30">
        <f t="shared" si="8"/>
        <v>1234248</v>
      </c>
      <c r="J73" s="30">
        <f t="shared" si="26"/>
        <v>10944045.364583334</v>
      </c>
      <c r="K73" s="30">
        <f t="shared" si="89"/>
        <v>10821993</v>
      </c>
      <c r="L73" s="30">
        <f t="shared" si="99"/>
        <v>54109965</v>
      </c>
      <c r="M73" s="30">
        <f t="shared" si="81"/>
        <v>24372992.990556881</v>
      </c>
      <c r="N73" s="30">
        <f t="shared" si="85"/>
        <v>10982045.522099247</v>
      </c>
      <c r="O73" s="30"/>
      <c r="P73" s="30">
        <f t="shared" si="11"/>
        <v>372986297.87723947</v>
      </c>
      <c r="Q73" s="30"/>
      <c r="R73" s="30"/>
      <c r="S73" s="30"/>
      <c r="T73" s="30"/>
      <c r="U73" s="30">
        <f t="shared" si="90"/>
        <v>0</v>
      </c>
      <c r="V73" s="30">
        <f t="shared" si="88"/>
        <v>372986297.87723947</v>
      </c>
      <c r="W73" s="30">
        <f t="shared" si="91"/>
        <v>16232989.499999998</v>
      </c>
      <c r="X73" s="30">
        <v>0</v>
      </c>
      <c r="Y73" s="30">
        <f t="shared" si="59"/>
        <v>1442932.4000000001</v>
      </c>
      <c r="Z73" s="30">
        <f t="shared" si="92"/>
        <v>17675921.899999999</v>
      </c>
      <c r="AA73" s="30"/>
      <c r="AB73" s="30"/>
      <c r="AC73" s="30"/>
      <c r="AD73" s="30"/>
      <c r="AE73" s="30">
        <f t="shared" si="93"/>
        <v>0</v>
      </c>
      <c r="AF73" s="30">
        <f t="shared" si="94"/>
        <v>17675921.899999999</v>
      </c>
      <c r="AG73" s="30">
        <f t="shared" si="28"/>
        <v>32404694.399999999</v>
      </c>
      <c r="AH73" s="30">
        <f t="shared" si="29"/>
        <v>22325852.543750003</v>
      </c>
      <c r="AI73" s="30">
        <f t="shared" si="30"/>
        <v>21888090.729166668</v>
      </c>
      <c r="AJ73" s="31">
        <f t="shared" si="16"/>
        <v>12013151.645798927</v>
      </c>
      <c r="AK73" s="31">
        <f t="shared" si="17"/>
        <v>1740366.1107359079</v>
      </c>
      <c r="AL73" s="30">
        <f t="shared" si="18"/>
        <v>9099486.7679400407</v>
      </c>
      <c r="AM73" s="31">
        <f t="shared" si="19"/>
        <v>1697832.3336014834</v>
      </c>
      <c r="AN73" s="31">
        <f t="shared" si="20"/>
        <v>1697832.3336014834</v>
      </c>
      <c r="AO73" s="30">
        <f t="shared" si="21"/>
        <v>3124939.0389240864</v>
      </c>
      <c r="AP73" s="30">
        <v>0</v>
      </c>
      <c r="AQ73" s="32">
        <f t="shared" si="95"/>
        <v>105992245.9035186</v>
      </c>
      <c r="AR73" s="31">
        <f t="shared" si="22"/>
        <v>1128811.8017906966</v>
      </c>
      <c r="AS73" s="31">
        <f t="shared" si="23"/>
        <v>1064675.2724511465</v>
      </c>
      <c r="AT73" s="31">
        <f t="shared" si="96"/>
        <v>2193487.0742418431</v>
      </c>
      <c r="AU73" s="33">
        <f t="shared" si="97"/>
        <v>496654465.68075806</v>
      </c>
    </row>
    <row r="74" spans="1:47" ht="15" customHeight="1" x14ac:dyDescent="0.2">
      <c r="A74" s="41" t="s">
        <v>84</v>
      </c>
      <c r="B74" s="35">
        <v>10</v>
      </c>
      <c r="C74" s="35">
        <v>1</v>
      </c>
      <c r="D74" s="30">
        <v>1742254</v>
      </c>
      <c r="E74" s="30">
        <f t="shared" si="87"/>
        <v>20907048</v>
      </c>
      <c r="F74" s="30">
        <v>0</v>
      </c>
      <c r="G74" s="30">
        <v>0</v>
      </c>
      <c r="H74" s="30">
        <f t="shared" si="7"/>
        <v>793176</v>
      </c>
      <c r="I74" s="30">
        <f t="shared" si="8"/>
        <v>1234248</v>
      </c>
      <c r="J74" s="30">
        <f t="shared" si="26"/>
        <v>957720.32256944443</v>
      </c>
      <c r="K74" s="30">
        <f t="shared" si="89"/>
        <v>609788.89999999991</v>
      </c>
      <c r="L74" s="30">
        <v>0</v>
      </c>
      <c r="M74" s="30">
        <f t="shared" si="81"/>
        <v>1952966.9135771324</v>
      </c>
      <c r="N74" s="30">
        <f t="shared" si="85"/>
        <v>961045.74035614391</v>
      </c>
      <c r="O74" s="30"/>
      <c r="P74" s="30">
        <f t="shared" si="11"/>
        <v>27415993.876502719</v>
      </c>
      <c r="Q74" s="30"/>
      <c r="R74" s="30"/>
      <c r="S74" s="30"/>
      <c r="T74" s="30"/>
      <c r="U74" s="30">
        <f t="shared" si="90"/>
        <v>0</v>
      </c>
      <c r="V74" s="30">
        <f t="shared" si="88"/>
        <v>27415993.876502719</v>
      </c>
      <c r="W74" s="30">
        <f t="shared" si="91"/>
        <v>1306690.5</v>
      </c>
      <c r="X74" s="30">
        <v>0</v>
      </c>
      <c r="Y74" s="30">
        <f t="shared" si="59"/>
        <v>116150.26666666666</v>
      </c>
      <c r="Z74" s="30">
        <f t="shared" si="92"/>
        <v>1422840.7666666666</v>
      </c>
      <c r="AA74" s="30"/>
      <c r="AB74" s="30"/>
      <c r="AC74" s="30"/>
      <c r="AD74" s="30"/>
      <c r="AE74" s="30">
        <f t="shared" si="93"/>
        <v>0</v>
      </c>
      <c r="AF74" s="30">
        <f t="shared" si="94"/>
        <v>1422840.7666666666</v>
      </c>
      <c r="AG74" s="30">
        <f t="shared" si="28"/>
        <v>2604026.8799999999</v>
      </c>
      <c r="AH74" s="30">
        <f t="shared" si="29"/>
        <v>1953749.4580416668</v>
      </c>
      <c r="AI74" s="30">
        <f t="shared" si="30"/>
        <v>1915440.6451388889</v>
      </c>
      <c r="AJ74" s="31">
        <f t="shared" si="16"/>
        <v>967010.49000400223</v>
      </c>
      <c r="AK74" s="31">
        <f t="shared" si="17"/>
        <v>140092.48656389254</v>
      </c>
      <c r="AL74" s="30">
        <f t="shared" si="18"/>
        <v>732472.16198488628</v>
      </c>
      <c r="AM74" s="31">
        <f t="shared" si="19"/>
        <v>136668.68822344087</v>
      </c>
      <c r="AN74" s="31">
        <f t="shared" si="20"/>
        <v>136668.68822344087</v>
      </c>
      <c r="AO74" s="30">
        <f t="shared" si="21"/>
        <v>251545.04998855782</v>
      </c>
      <c r="AP74" s="30">
        <v>0</v>
      </c>
      <c r="AQ74" s="32">
        <f t="shared" si="95"/>
        <v>8837674.5481687747</v>
      </c>
      <c r="AR74" s="31">
        <f t="shared" si="22"/>
        <v>90864.819304403936</v>
      </c>
      <c r="AS74" s="31">
        <f t="shared" si="23"/>
        <v>85702.086118938518</v>
      </c>
      <c r="AT74" s="31">
        <f t="shared" si="96"/>
        <v>176566.90542334245</v>
      </c>
      <c r="AU74" s="33">
        <f t="shared" si="97"/>
        <v>37676509.191338159</v>
      </c>
    </row>
    <row r="75" spans="1:47" ht="15" customHeight="1" x14ac:dyDescent="0.2">
      <c r="A75" s="41" t="s">
        <v>84</v>
      </c>
      <c r="B75" s="35">
        <v>11</v>
      </c>
      <c r="C75" s="35">
        <v>7</v>
      </c>
      <c r="D75" s="30">
        <v>1836730</v>
      </c>
      <c r="E75" s="30">
        <f t="shared" si="87"/>
        <v>154285320</v>
      </c>
      <c r="F75" s="30">
        <v>0</v>
      </c>
      <c r="G75" s="30">
        <v>0</v>
      </c>
      <c r="H75" s="30">
        <f t="shared" si="7"/>
        <v>793176</v>
      </c>
      <c r="I75" s="30">
        <f t="shared" si="8"/>
        <v>0</v>
      </c>
      <c r="J75" s="30">
        <f t="shared" si="26"/>
        <v>6477228.960069444</v>
      </c>
      <c r="K75" s="30">
        <f t="shared" si="89"/>
        <v>4499988.5</v>
      </c>
      <c r="L75" s="30">
        <v>0</v>
      </c>
      <c r="M75" s="30">
        <f t="shared" si="81"/>
        <v>14313521.399872705</v>
      </c>
      <c r="N75" s="30">
        <f t="shared" si="85"/>
        <v>6499719.3384030191</v>
      </c>
      <c r="O75" s="30"/>
      <c r="P75" s="30">
        <f t="shared" si="11"/>
        <v>186868954.19834515</v>
      </c>
      <c r="Q75" s="30"/>
      <c r="R75" s="30"/>
      <c r="S75" s="30"/>
      <c r="T75" s="30"/>
      <c r="U75" s="30">
        <f t="shared" si="90"/>
        <v>0</v>
      </c>
      <c r="V75" s="30">
        <f t="shared" si="88"/>
        <v>186868954.19834515</v>
      </c>
      <c r="W75" s="30">
        <f t="shared" si="91"/>
        <v>9642832.5</v>
      </c>
      <c r="X75" s="30">
        <v>0</v>
      </c>
      <c r="Y75" s="30">
        <f t="shared" si="59"/>
        <v>857140.66666666674</v>
      </c>
      <c r="Z75" s="30">
        <f t="shared" si="92"/>
        <v>10499973.166666666</v>
      </c>
      <c r="AA75" s="30"/>
      <c r="AB75" s="30"/>
      <c r="AC75" s="30"/>
      <c r="AD75" s="30"/>
      <c r="AE75" s="30">
        <f t="shared" si="93"/>
        <v>0</v>
      </c>
      <c r="AF75" s="30">
        <f t="shared" si="94"/>
        <v>10499973.166666666</v>
      </c>
      <c r="AG75" s="30">
        <f t="shared" si="28"/>
        <v>19180506.239999998</v>
      </c>
      <c r="AH75" s="30">
        <f t="shared" si="29"/>
        <v>13213547.078541666</v>
      </c>
      <c r="AI75" s="30">
        <f t="shared" si="30"/>
        <v>12954457.920138888</v>
      </c>
      <c r="AJ75" s="31">
        <f t="shared" si="16"/>
        <v>7136135.282878018</v>
      </c>
      <c r="AK75" s="31">
        <f t="shared" si="17"/>
        <v>1033824.2930855595</v>
      </c>
      <c r="AL75" s="30">
        <f t="shared" si="18"/>
        <v>5405339.9553552475</v>
      </c>
      <c r="AM75" s="31">
        <f t="shared" si="19"/>
        <v>1008558.0851267864</v>
      </c>
      <c r="AN75" s="31">
        <f t="shared" si="20"/>
        <v>1008558.0851267864</v>
      </c>
      <c r="AO75" s="30">
        <f t="shared" si="21"/>
        <v>1856297.8633760558</v>
      </c>
      <c r="AP75" s="30">
        <v>0</v>
      </c>
      <c r="AQ75" s="32">
        <f t="shared" si="95"/>
        <v>62797224.803629018</v>
      </c>
      <c r="AR75" s="31">
        <f t="shared" si="22"/>
        <v>670544.58013977576</v>
      </c>
      <c r="AS75" s="31">
        <f t="shared" si="23"/>
        <v>632445.75616452342</v>
      </c>
      <c r="AT75" s="31">
        <f t="shared" si="96"/>
        <v>1302990.3363042991</v>
      </c>
      <c r="AU75" s="33">
        <f t="shared" si="97"/>
        <v>260166152.16864082</v>
      </c>
    </row>
    <row r="76" spans="1:47" ht="15" customHeight="1" x14ac:dyDescent="0.2">
      <c r="A76" s="41" t="s">
        <v>84</v>
      </c>
      <c r="B76" s="35">
        <v>12</v>
      </c>
      <c r="C76" s="35">
        <v>3</v>
      </c>
      <c r="D76" s="30">
        <v>1947688</v>
      </c>
      <c r="E76" s="30">
        <f t="shared" si="87"/>
        <v>70116768</v>
      </c>
      <c r="F76" s="30">
        <v>0</v>
      </c>
      <c r="G76" s="30">
        <v>0</v>
      </c>
      <c r="H76" s="30">
        <f t="shared" si="7"/>
        <v>0</v>
      </c>
      <c r="I76" s="30">
        <f t="shared" si="8"/>
        <v>0</v>
      </c>
      <c r="J76" s="30">
        <f t="shared" si="26"/>
        <v>2928632.9458333333</v>
      </c>
      <c r="K76" s="30">
        <f t="shared" si="89"/>
        <v>2045072.4</v>
      </c>
      <c r="L76" s="30">
        <v>0</v>
      </c>
      <c r="M76" s="30">
        <f t="shared" si="81"/>
        <v>6502439.5963384937</v>
      </c>
      <c r="N76" s="30">
        <f t="shared" si="85"/>
        <v>2938801.8102285881</v>
      </c>
      <c r="O76" s="30"/>
      <c r="P76" s="30">
        <f t="shared" si="11"/>
        <v>84531714.752400428</v>
      </c>
      <c r="Q76" s="30"/>
      <c r="R76" s="30"/>
      <c r="S76" s="30"/>
      <c r="T76" s="30"/>
      <c r="U76" s="30">
        <f t="shared" si="90"/>
        <v>0</v>
      </c>
      <c r="V76" s="30">
        <f t="shared" si="88"/>
        <v>84531714.752400428</v>
      </c>
      <c r="W76" s="30">
        <f t="shared" si="91"/>
        <v>4382298</v>
      </c>
      <c r="X76" s="30">
        <v>0</v>
      </c>
      <c r="Y76" s="30">
        <f t="shared" si="59"/>
        <v>389537.6</v>
      </c>
      <c r="Z76" s="30">
        <f t="shared" si="92"/>
        <v>4771835.5999999996</v>
      </c>
      <c r="AA76" s="30"/>
      <c r="AB76" s="30"/>
      <c r="AC76" s="30"/>
      <c r="AD76" s="30"/>
      <c r="AE76" s="30">
        <f t="shared" si="93"/>
        <v>0</v>
      </c>
      <c r="AF76" s="30">
        <f t="shared" si="94"/>
        <v>4771835.5999999996</v>
      </c>
      <c r="AG76" s="30">
        <f t="shared" si="28"/>
        <v>8414012.1600000001</v>
      </c>
      <c r="AH76" s="30">
        <f t="shared" si="29"/>
        <v>5974411.2095000008</v>
      </c>
      <c r="AI76" s="30">
        <f t="shared" si="30"/>
        <v>5857265.8916666666</v>
      </c>
      <c r="AJ76" s="31">
        <f t="shared" si="16"/>
        <v>3243100.1345181274</v>
      </c>
      <c r="AK76" s="31">
        <f t="shared" si="17"/>
        <v>469833.54029433371</v>
      </c>
      <c r="AL76" s="30">
        <f t="shared" si="18"/>
        <v>2456519.9567319443</v>
      </c>
      <c r="AM76" s="31">
        <f t="shared" si="19"/>
        <v>458351.01660585153</v>
      </c>
      <c r="AN76" s="31">
        <f t="shared" si="20"/>
        <v>458351.01660585153</v>
      </c>
      <c r="AO76" s="30">
        <f t="shared" si="21"/>
        <v>843616.27292366233</v>
      </c>
      <c r="AP76" s="30">
        <v>0</v>
      </c>
      <c r="AQ76" s="32">
        <f t="shared" si="95"/>
        <v>28175461.198846437</v>
      </c>
      <c r="AR76" s="31">
        <f t="shared" si="22"/>
        <v>304736.82628598798</v>
      </c>
      <c r="AS76" s="31">
        <f t="shared" si="23"/>
        <v>287422.37017476751</v>
      </c>
      <c r="AT76" s="31">
        <f t="shared" si="96"/>
        <v>592159.19646075554</v>
      </c>
      <c r="AU76" s="33">
        <f t="shared" si="97"/>
        <v>117479011.55124685</v>
      </c>
    </row>
    <row r="77" spans="1:47" ht="15" customHeight="1" x14ac:dyDescent="0.2">
      <c r="A77" s="41" t="s">
        <v>84</v>
      </c>
      <c r="B77" s="35">
        <v>15</v>
      </c>
      <c r="C77" s="35">
        <v>6</v>
      </c>
      <c r="D77" s="30">
        <v>2250064</v>
      </c>
      <c r="E77" s="30">
        <f t="shared" si="87"/>
        <v>162004608</v>
      </c>
      <c r="F77" s="30">
        <v>0</v>
      </c>
      <c r="G77" s="30">
        <v>0</v>
      </c>
      <c r="H77" s="30">
        <f t="shared" si="7"/>
        <v>0</v>
      </c>
      <c r="I77" s="30">
        <f t="shared" si="8"/>
        <v>0</v>
      </c>
      <c r="J77" s="30">
        <f t="shared" si="26"/>
        <v>6766598.7166666659</v>
      </c>
      <c r="K77" s="30">
        <f t="shared" si="89"/>
        <v>4725134.3999999994</v>
      </c>
      <c r="L77" s="30">
        <v>0</v>
      </c>
      <c r="M77" s="30">
        <f t="shared" si="81"/>
        <v>15023869.580647182</v>
      </c>
      <c r="N77" s="30">
        <f t="shared" si="85"/>
        <v>6790093.8510995368</v>
      </c>
      <c r="O77" s="30"/>
      <c r="P77" s="30">
        <f t="shared" si="11"/>
        <v>195310304.5484134</v>
      </c>
      <c r="Q77" s="30"/>
      <c r="R77" s="30"/>
      <c r="S77" s="30"/>
      <c r="T77" s="30"/>
      <c r="U77" s="30">
        <f t="shared" si="90"/>
        <v>0</v>
      </c>
      <c r="V77" s="30">
        <f t="shared" si="88"/>
        <v>195310304.5484134</v>
      </c>
      <c r="W77" s="30">
        <f t="shared" si="91"/>
        <v>10125288</v>
      </c>
      <c r="X77" s="30">
        <v>0</v>
      </c>
      <c r="Y77" s="30">
        <f t="shared" si="59"/>
        <v>900025.6</v>
      </c>
      <c r="Z77" s="30">
        <f t="shared" si="92"/>
        <v>11025313.6</v>
      </c>
      <c r="AA77" s="30"/>
      <c r="AB77" s="30"/>
      <c r="AC77" s="30"/>
      <c r="AD77" s="30"/>
      <c r="AE77" s="30">
        <f t="shared" si="93"/>
        <v>0</v>
      </c>
      <c r="AF77" s="30">
        <f t="shared" si="94"/>
        <v>11025313.6</v>
      </c>
      <c r="AG77" s="30">
        <f t="shared" si="28"/>
        <v>19440552.960000001</v>
      </c>
      <c r="AH77" s="30">
        <f t="shared" si="29"/>
        <v>13803861.381999999</v>
      </c>
      <c r="AI77" s="30">
        <f t="shared" si="30"/>
        <v>13533197.433333332</v>
      </c>
      <c r="AJ77" s="31">
        <f t="shared" si="16"/>
        <v>7493174.3288189834</v>
      </c>
      <c r="AK77" s="31">
        <f t="shared" si="17"/>
        <v>1085549.1588065748</v>
      </c>
      <c r="AL77" s="30">
        <f t="shared" si="18"/>
        <v>5675782.8973881919</v>
      </c>
      <c r="AM77" s="31">
        <f t="shared" si="19"/>
        <v>1059018.8180326917</v>
      </c>
      <c r="AN77" s="31">
        <f t="shared" si="20"/>
        <v>1059018.8180326917</v>
      </c>
      <c r="AO77" s="30">
        <f t="shared" si="21"/>
        <v>1949173.1791947247</v>
      </c>
      <c r="AP77" s="30">
        <v>0</v>
      </c>
      <c r="AQ77" s="32">
        <f t="shared" si="95"/>
        <v>65099328.975607187</v>
      </c>
      <c r="AR77" s="31">
        <f t="shared" si="22"/>
        <v>704093.63542862644</v>
      </c>
      <c r="AS77" s="31">
        <f t="shared" si="23"/>
        <v>664088.63013472199</v>
      </c>
      <c r="AT77" s="31">
        <f t="shared" si="96"/>
        <v>1368182.2655633483</v>
      </c>
      <c r="AU77" s="33">
        <f t="shared" si="97"/>
        <v>271434947.12402058</v>
      </c>
    </row>
    <row r="78" spans="1:47" ht="15" customHeight="1" x14ac:dyDescent="0.2">
      <c r="A78" s="41" t="s">
        <v>84</v>
      </c>
      <c r="B78" s="35">
        <v>18</v>
      </c>
      <c r="C78" s="35">
        <v>5</v>
      </c>
      <c r="D78" s="42">
        <v>2990759</v>
      </c>
      <c r="E78" s="30">
        <f t="shared" si="87"/>
        <v>179445540</v>
      </c>
      <c r="F78" s="30">
        <v>0</v>
      </c>
      <c r="G78" s="30">
        <v>0</v>
      </c>
      <c r="H78" s="30">
        <f t="shared" si="7"/>
        <v>0</v>
      </c>
      <c r="I78" s="30">
        <f t="shared" si="8"/>
        <v>0</v>
      </c>
      <c r="J78" s="30">
        <f t="shared" si="26"/>
        <v>7495070.514756944</v>
      </c>
      <c r="K78" s="30">
        <f t="shared" si="89"/>
        <v>5233828.25</v>
      </c>
      <c r="L78" s="30">
        <v>0</v>
      </c>
      <c r="M78" s="30">
        <f t="shared" si="81"/>
        <v>16641294.485826029</v>
      </c>
      <c r="N78" s="30">
        <f t="shared" si="85"/>
        <v>7521095.0651554056</v>
      </c>
      <c r="O78" s="30"/>
      <c r="P78" s="30">
        <f t="shared" si="11"/>
        <v>216336828.31573838</v>
      </c>
      <c r="Q78" s="30"/>
      <c r="R78" s="30"/>
      <c r="S78" s="30"/>
      <c r="T78" s="30"/>
      <c r="U78" s="30">
        <f t="shared" si="90"/>
        <v>0</v>
      </c>
      <c r="V78" s="30">
        <f t="shared" si="88"/>
        <v>216336828.31573838</v>
      </c>
      <c r="W78" s="30">
        <f t="shared" si="91"/>
        <v>11215346.25</v>
      </c>
      <c r="X78" s="30">
        <v>0</v>
      </c>
      <c r="Y78" s="30">
        <f t="shared" si="59"/>
        <v>996919.66666666663</v>
      </c>
      <c r="Z78" s="30">
        <f t="shared" si="92"/>
        <v>12212265.916666666</v>
      </c>
      <c r="AA78" s="30"/>
      <c r="AB78" s="30"/>
      <c r="AC78" s="30"/>
      <c r="AD78" s="30"/>
      <c r="AE78" s="30">
        <f t="shared" si="93"/>
        <v>0</v>
      </c>
      <c r="AF78" s="30">
        <f t="shared" si="94"/>
        <v>12212265.916666666</v>
      </c>
      <c r="AG78" s="30">
        <f t="shared" si="28"/>
        <v>21533464.799999997</v>
      </c>
      <c r="AH78" s="30">
        <f t="shared" si="29"/>
        <v>15289943.850104166</v>
      </c>
      <c r="AI78" s="30">
        <f t="shared" si="30"/>
        <v>14990141.029513888</v>
      </c>
      <c r="AJ78" s="31">
        <f t="shared" si="16"/>
        <v>8299867.0861822665</v>
      </c>
      <c r="AK78" s="31">
        <f t="shared" si="17"/>
        <v>1202416.1374384582</v>
      </c>
      <c r="AL78" s="30">
        <f t="shared" si="18"/>
        <v>6286820.7239178568</v>
      </c>
      <c r="AM78" s="31">
        <f t="shared" si="19"/>
        <v>1173029.6194540227</v>
      </c>
      <c r="AN78" s="31">
        <f t="shared" si="20"/>
        <v>1173029.6194540227</v>
      </c>
      <c r="AO78" s="30">
        <f t="shared" si="21"/>
        <v>2159015.3392063649</v>
      </c>
      <c r="AP78" s="30">
        <v>0</v>
      </c>
      <c r="AQ78" s="32">
        <f t="shared" si="95"/>
        <v>72107728.205271065</v>
      </c>
      <c r="AR78" s="31">
        <f t="shared" si="22"/>
        <v>779894.25226752181</v>
      </c>
      <c r="AS78" s="31">
        <f t="shared" si="23"/>
        <v>735582.42764542508</v>
      </c>
      <c r="AT78" s="31">
        <f t="shared" si="96"/>
        <v>1515476.6799129469</v>
      </c>
      <c r="AU78" s="33">
        <f t="shared" si="97"/>
        <v>300656822.43767607</v>
      </c>
    </row>
    <row r="79" spans="1:47" ht="15" customHeight="1" x14ac:dyDescent="0.2">
      <c r="A79" s="41" t="s">
        <v>85</v>
      </c>
      <c r="B79" s="78" t="s">
        <v>110</v>
      </c>
      <c r="C79" s="35">
        <v>11</v>
      </c>
      <c r="D79" s="30">
        <v>1475454</v>
      </c>
      <c r="E79" s="30">
        <f t="shared" si="87"/>
        <v>194759928</v>
      </c>
      <c r="F79" s="30">
        <v>0</v>
      </c>
      <c r="G79" s="30">
        <v>0</v>
      </c>
      <c r="H79" s="30">
        <f t="shared" si="7"/>
        <v>793176</v>
      </c>
      <c r="I79" s="30">
        <f t="shared" si="8"/>
        <v>1234248</v>
      </c>
      <c r="J79" s="30">
        <f t="shared" si="26"/>
        <v>8227650.072916667</v>
      </c>
      <c r="K79" s="30">
        <f t="shared" si="89"/>
        <v>8114997</v>
      </c>
      <c r="L79" s="30">
        <f t="shared" ref="L79" si="100">+((((D79/30)/8)*50)*12)*C79</f>
        <v>40574985</v>
      </c>
      <c r="M79" s="30">
        <f t="shared" si="81"/>
        <v>18279899.447937764</v>
      </c>
      <c r="N79" s="30">
        <f t="shared" si="85"/>
        <v>8256218.3023365168</v>
      </c>
      <c r="O79" s="30"/>
      <c r="P79" s="30">
        <f t="shared" si="11"/>
        <v>280241101.82319093</v>
      </c>
      <c r="Q79" s="30"/>
      <c r="R79" s="30"/>
      <c r="S79" s="30"/>
      <c r="T79" s="30"/>
      <c r="U79" s="30">
        <f t="shared" si="90"/>
        <v>0</v>
      </c>
      <c r="V79" s="30">
        <f t="shared" si="88"/>
        <v>280241101.82319093</v>
      </c>
      <c r="W79" s="30">
        <f t="shared" si="91"/>
        <v>12172495.500000002</v>
      </c>
      <c r="X79" s="30">
        <v>0</v>
      </c>
      <c r="Y79" s="30">
        <f t="shared" si="59"/>
        <v>1081999.6000000001</v>
      </c>
      <c r="Z79" s="30">
        <f t="shared" si="92"/>
        <v>13254495.100000001</v>
      </c>
      <c r="AA79" s="30"/>
      <c r="AB79" s="30"/>
      <c r="AC79" s="30"/>
      <c r="AD79" s="30"/>
      <c r="AE79" s="30">
        <f t="shared" si="93"/>
        <v>0</v>
      </c>
      <c r="AF79" s="30">
        <f t="shared" si="94"/>
        <v>13254495.100000001</v>
      </c>
      <c r="AG79" s="30">
        <f t="shared" si="28"/>
        <v>24418183.68</v>
      </c>
      <c r="AH79" s="30">
        <f t="shared" si="29"/>
        <v>16784406.14875</v>
      </c>
      <c r="AI79" s="30">
        <f t="shared" si="30"/>
        <v>16455300.145833334</v>
      </c>
      <c r="AJ79" s="31">
        <f t="shared" si="16"/>
        <v>9008201.1295149941</v>
      </c>
      <c r="AK79" s="31">
        <f t="shared" si="17"/>
        <v>1305033.7186065044</v>
      </c>
      <c r="AL79" s="30">
        <f t="shared" si="18"/>
        <v>6823355.7186160758</v>
      </c>
      <c r="AM79" s="31">
        <f t="shared" si="19"/>
        <v>1273139.2723760805</v>
      </c>
      <c r="AN79" s="31">
        <f t="shared" si="20"/>
        <v>1273139.2723760805</v>
      </c>
      <c r="AO79" s="30">
        <f t="shared" si="21"/>
        <v>2343271.79162395</v>
      </c>
      <c r="AP79" s="30">
        <v>0</v>
      </c>
      <c r="AQ79" s="32">
        <f t="shared" si="95"/>
        <v>79684030.877697021</v>
      </c>
      <c r="AR79" s="31">
        <f t="shared" si="22"/>
        <v>846452.62523234845</v>
      </c>
      <c r="AS79" s="31">
        <f t="shared" si="23"/>
        <v>798359.10464137571</v>
      </c>
      <c r="AT79" s="31">
        <f t="shared" si="96"/>
        <v>1644811.7298737243</v>
      </c>
      <c r="AU79" s="33">
        <f t="shared" si="97"/>
        <v>373179627.80088794</v>
      </c>
    </row>
    <row r="80" spans="1:47" ht="15" customHeight="1" x14ac:dyDescent="0.2">
      <c r="A80" s="41" t="s">
        <v>85</v>
      </c>
      <c r="B80" s="35">
        <v>10</v>
      </c>
      <c r="C80" s="35">
        <v>3</v>
      </c>
      <c r="D80" s="30">
        <v>1742254</v>
      </c>
      <c r="E80" s="30">
        <f t="shared" si="87"/>
        <v>62721144</v>
      </c>
      <c r="F80" s="30">
        <v>0</v>
      </c>
      <c r="G80" s="30">
        <v>0</v>
      </c>
      <c r="H80" s="30">
        <f t="shared" si="7"/>
        <v>793176</v>
      </c>
      <c r="I80" s="30">
        <f t="shared" si="8"/>
        <v>1234248</v>
      </c>
      <c r="J80" s="30">
        <f t="shared" si="26"/>
        <v>2704208.9677083334</v>
      </c>
      <c r="K80" s="30">
        <f t="shared" si="89"/>
        <v>1829366.6999999997</v>
      </c>
      <c r="L80" s="30">
        <v>0</v>
      </c>
      <c r="M80" s="30">
        <f t="shared" si="81"/>
        <v>5830693.187490656</v>
      </c>
      <c r="N80" s="30">
        <f t="shared" si="85"/>
        <v>2713598.5821795431</v>
      </c>
      <c r="O80" s="30"/>
      <c r="P80" s="30">
        <f t="shared" si="11"/>
        <v>77826435.437378541</v>
      </c>
      <c r="Q80" s="30"/>
      <c r="R80" s="30"/>
      <c r="S80" s="30"/>
      <c r="T80" s="30"/>
      <c r="U80" s="30">
        <f t="shared" si="90"/>
        <v>0</v>
      </c>
      <c r="V80" s="30">
        <f t="shared" si="88"/>
        <v>77826435.437378541</v>
      </c>
      <c r="W80" s="30">
        <f t="shared" si="91"/>
        <v>3920071.5</v>
      </c>
      <c r="X80" s="30">
        <v>0</v>
      </c>
      <c r="Y80" s="30">
        <f t="shared" si="59"/>
        <v>348450.8</v>
      </c>
      <c r="Z80" s="30">
        <f t="shared" si="92"/>
        <v>4268522.3</v>
      </c>
      <c r="AA80" s="30"/>
      <c r="AB80" s="30"/>
      <c r="AC80" s="30"/>
      <c r="AD80" s="30"/>
      <c r="AE80" s="30">
        <f t="shared" si="93"/>
        <v>0</v>
      </c>
      <c r="AF80" s="30">
        <f t="shared" si="94"/>
        <v>4268522.3</v>
      </c>
      <c r="AG80" s="30">
        <f t="shared" si="28"/>
        <v>7812080.6399999997</v>
      </c>
      <c r="AH80" s="30">
        <f t="shared" si="29"/>
        <v>5516586.2941250009</v>
      </c>
      <c r="AI80" s="30">
        <f t="shared" si="30"/>
        <v>5408417.9354166668</v>
      </c>
      <c r="AJ80" s="31">
        <f t="shared" si="16"/>
        <v>2901031.4700120068</v>
      </c>
      <c r="AK80" s="31">
        <f t="shared" si="17"/>
        <v>420277.45969167759</v>
      </c>
      <c r="AL80" s="30">
        <f t="shared" si="18"/>
        <v>2197416.4859546591</v>
      </c>
      <c r="AM80" s="31">
        <f t="shared" si="19"/>
        <v>410006.06467032258</v>
      </c>
      <c r="AN80" s="31">
        <f t="shared" si="20"/>
        <v>410006.06467032258</v>
      </c>
      <c r="AO80" s="30">
        <f t="shared" si="21"/>
        <v>754635.14996567345</v>
      </c>
      <c r="AP80" s="30">
        <v>0</v>
      </c>
      <c r="AQ80" s="32">
        <f t="shared" si="95"/>
        <v>25830457.56450633</v>
      </c>
      <c r="AR80" s="31">
        <f t="shared" si="22"/>
        <v>272594.45791321178</v>
      </c>
      <c r="AS80" s="31">
        <f t="shared" si="23"/>
        <v>257106.25835681555</v>
      </c>
      <c r="AT80" s="31">
        <f t="shared" si="96"/>
        <v>529700.71627002733</v>
      </c>
      <c r="AU80" s="33">
        <f t="shared" si="97"/>
        <v>107925415.30188486</v>
      </c>
    </row>
    <row r="81" spans="1:47" ht="15" customHeight="1" x14ac:dyDescent="0.2">
      <c r="A81" s="41" t="s">
        <v>85</v>
      </c>
      <c r="B81" s="35">
        <v>11</v>
      </c>
      <c r="C81" s="35">
        <v>5</v>
      </c>
      <c r="D81" s="30">
        <v>1836730</v>
      </c>
      <c r="E81" s="30">
        <f t="shared" si="87"/>
        <v>110203800</v>
      </c>
      <c r="F81" s="30">
        <v>0</v>
      </c>
      <c r="G81" s="30">
        <v>0</v>
      </c>
      <c r="H81" s="30">
        <f t="shared" ref="H81:H107" si="101">(IF(D81&gt;=1853502,0,66098))*12</f>
        <v>793176</v>
      </c>
      <c r="I81" s="30">
        <f t="shared" ref="I81:I107" si="102">+(IF(D81&lt;(877803*2),102854,0)*12)</f>
        <v>0</v>
      </c>
      <c r="J81" s="30">
        <f t="shared" si="26"/>
        <v>4636034.685763889</v>
      </c>
      <c r="K81" s="30">
        <f t="shared" si="89"/>
        <v>3214277.5</v>
      </c>
      <c r="L81" s="30">
        <v>0</v>
      </c>
      <c r="M81" s="30">
        <f t="shared" si="81"/>
        <v>10225520.351182222</v>
      </c>
      <c r="N81" s="30">
        <f t="shared" si="85"/>
        <v>4652132.0284227906</v>
      </c>
      <c r="O81" s="30"/>
      <c r="P81" s="30">
        <f t="shared" ref="P81:P107" si="103">SUM(E81:O81)</f>
        <v>133724940.56536891</v>
      </c>
      <c r="Q81" s="30"/>
      <c r="R81" s="30"/>
      <c r="S81" s="30"/>
      <c r="T81" s="30"/>
      <c r="U81" s="30">
        <f t="shared" si="90"/>
        <v>0</v>
      </c>
      <c r="V81" s="30">
        <f t="shared" si="88"/>
        <v>133724940.56536891</v>
      </c>
      <c r="W81" s="30">
        <f t="shared" si="91"/>
        <v>6887737.5</v>
      </c>
      <c r="X81" s="30">
        <v>0</v>
      </c>
      <c r="Y81" s="30">
        <f t="shared" si="59"/>
        <v>612243.33333333337</v>
      </c>
      <c r="Z81" s="30">
        <f t="shared" si="92"/>
        <v>7499980.833333333</v>
      </c>
      <c r="AA81" s="30"/>
      <c r="AB81" s="30"/>
      <c r="AC81" s="30"/>
      <c r="AD81" s="30"/>
      <c r="AE81" s="30">
        <f t="shared" si="93"/>
        <v>0</v>
      </c>
      <c r="AF81" s="30">
        <f t="shared" si="94"/>
        <v>7499980.833333333</v>
      </c>
      <c r="AG81" s="30">
        <f t="shared" si="28"/>
        <v>13700361.6</v>
      </c>
      <c r="AH81" s="30">
        <f t="shared" si="29"/>
        <v>9457510.7589583341</v>
      </c>
      <c r="AI81" s="30">
        <f t="shared" si="30"/>
        <v>9272069.371527778</v>
      </c>
      <c r="AJ81" s="31">
        <f t="shared" ref="AJ81:AJ107" si="104">+((D81*0.0462528468870403)*C81)*12</f>
        <v>5097239.4877700126</v>
      </c>
      <c r="AK81" s="31">
        <f t="shared" ref="AK81:AK107" si="105">+((D81*0.00670073013482786)*C81)*12</f>
        <v>738445.92363254237</v>
      </c>
      <c r="AL81" s="30">
        <f t="shared" ref="AL81:AL107" si="106">+(((D81*0.0350347003548701)*C81)*12)</f>
        <v>3860957.1109680338</v>
      </c>
      <c r="AM81" s="31">
        <f t="shared" ref="AM81:AM107" si="107">+(((D81*0.00653696725733068)*C81)*12)</f>
        <v>720398.63223341876</v>
      </c>
      <c r="AN81" s="31">
        <f t="shared" ref="AN81:AN107" si="108">+(((D81*0.00653696725733068)*C81)*12)</f>
        <v>720398.63223341876</v>
      </c>
      <c r="AO81" s="30">
        <f t="shared" ref="AO81:AO107" si="109">+(((D81*0.0120315909729847)*C81)*12)</f>
        <v>1325927.0452686113</v>
      </c>
      <c r="AP81" s="30">
        <v>0</v>
      </c>
      <c r="AQ81" s="32">
        <f t="shared" si="95"/>
        <v>44893308.562592141</v>
      </c>
      <c r="AR81" s="31">
        <f t="shared" ref="AR81:AR107" si="110">+(((D81*0.00434613338546905)*C81)*12)</f>
        <v>478960.41438555415</v>
      </c>
      <c r="AS81" s="31">
        <f t="shared" ref="AS81:AS107" si="111">+((D81*0.00409919593234485)*C81)*12</f>
        <v>451746.96868894529</v>
      </c>
      <c r="AT81" s="31">
        <f t="shared" si="96"/>
        <v>930707.38307449943</v>
      </c>
      <c r="AU81" s="33">
        <f t="shared" si="97"/>
        <v>186118229.96129438</v>
      </c>
    </row>
    <row r="82" spans="1:47" ht="15" customHeight="1" x14ac:dyDescent="0.2">
      <c r="A82" s="41" t="s">
        <v>85</v>
      </c>
      <c r="B82" s="35">
        <v>12</v>
      </c>
      <c r="C82" s="35">
        <v>8</v>
      </c>
      <c r="D82" s="30">
        <v>1947688</v>
      </c>
      <c r="E82" s="30">
        <f t="shared" si="87"/>
        <v>186978048</v>
      </c>
      <c r="F82" s="30">
        <v>0</v>
      </c>
      <c r="G82" s="30">
        <v>0</v>
      </c>
      <c r="H82" s="30">
        <f t="shared" si="101"/>
        <v>0</v>
      </c>
      <c r="I82" s="30">
        <f t="shared" si="102"/>
        <v>0</v>
      </c>
      <c r="J82" s="30">
        <f t="shared" si="26"/>
        <v>7809687.8555555558</v>
      </c>
      <c r="K82" s="30">
        <f t="shared" si="89"/>
        <v>5453526.3999999994</v>
      </c>
      <c r="L82" s="30">
        <v>0</v>
      </c>
      <c r="M82" s="30">
        <f t="shared" si="81"/>
        <v>17339838.923569318</v>
      </c>
      <c r="N82" s="30">
        <f t="shared" si="85"/>
        <v>7836804.8272762345</v>
      </c>
      <c r="O82" s="30"/>
      <c r="P82" s="30">
        <f t="shared" si="103"/>
        <v>225417906.00640112</v>
      </c>
      <c r="Q82" s="30"/>
      <c r="R82" s="30"/>
      <c r="S82" s="30"/>
      <c r="T82" s="30"/>
      <c r="U82" s="30">
        <f t="shared" si="90"/>
        <v>0</v>
      </c>
      <c r="V82" s="30">
        <f t="shared" si="88"/>
        <v>225417906.00640112</v>
      </c>
      <c r="W82" s="30">
        <f t="shared" si="91"/>
        <v>11686128</v>
      </c>
      <c r="X82" s="30">
        <v>0</v>
      </c>
      <c r="Y82" s="30">
        <f t="shared" si="59"/>
        <v>1038766.9333333333</v>
      </c>
      <c r="Z82" s="30">
        <f t="shared" si="92"/>
        <v>12724894.933333334</v>
      </c>
      <c r="AA82" s="30"/>
      <c r="AB82" s="30"/>
      <c r="AC82" s="30"/>
      <c r="AD82" s="30"/>
      <c r="AE82" s="30">
        <f t="shared" si="93"/>
        <v>0</v>
      </c>
      <c r="AF82" s="30">
        <f t="shared" si="94"/>
        <v>12724894.933333334</v>
      </c>
      <c r="AG82" s="30">
        <f t="shared" si="28"/>
        <v>22437365.759999998</v>
      </c>
      <c r="AH82" s="30">
        <f t="shared" si="29"/>
        <v>15931763.225333335</v>
      </c>
      <c r="AI82" s="30">
        <f t="shared" si="30"/>
        <v>15619375.711111112</v>
      </c>
      <c r="AJ82" s="31">
        <f t="shared" si="104"/>
        <v>8648267.0253816731</v>
      </c>
      <c r="AK82" s="31">
        <f t="shared" si="105"/>
        <v>1252889.44078489</v>
      </c>
      <c r="AL82" s="30">
        <f t="shared" si="106"/>
        <v>6550719.8846185189</v>
      </c>
      <c r="AM82" s="31">
        <f t="shared" si="107"/>
        <v>1222269.3776156041</v>
      </c>
      <c r="AN82" s="31">
        <f t="shared" si="108"/>
        <v>1222269.3776156041</v>
      </c>
      <c r="AO82" s="30">
        <f t="shared" si="109"/>
        <v>2249643.3944630995</v>
      </c>
      <c r="AP82" s="30">
        <v>0</v>
      </c>
      <c r="AQ82" s="32">
        <f t="shared" si="95"/>
        <v>75134563.196923822</v>
      </c>
      <c r="AR82" s="31">
        <f t="shared" si="110"/>
        <v>812631.53676263464</v>
      </c>
      <c r="AS82" s="31">
        <f t="shared" si="111"/>
        <v>766459.65379938006</v>
      </c>
      <c r="AT82" s="31">
        <f t="shared" si="96"/>
        <v>1579091.1905620147</v>
      </c>
      <c r="AU82" s="33">
        <f t="shared" si="97"/>
        <v>313277364.13665831</v>
      </c>
    </row>
    <row r="83" spans="1:47" ht="15" customHeight="1" thickBot="1" x14ac:dyDescent="0.25">
      <c r="A83" s="41" t="s">
        <v>85</v>
      </c>
      <c r="B83" s="35">
        <v>18</v>
      </c>
      <c r="C83" s="35">
        <v>1</v>
      </c>
      <c r="D83" s="30">
        <v>2990759</v>
      </c>
      <c r="E83" s="30">
        <f t="shared" si="87"/>
        <v>35889108</v>
      </c>
      <c r="F83" s="30">
        <v>0</v>
      </c>
      <c r="G83" s="30">
        <v>0</v>
      </c>
      <c r="H83" s="30">
        <f t="shared" si="101"/>
        <v>0</v>
      </c>
      <c r="I83" s="30">
        <f t="shared" si="102"/>
        <v>0</v>
      </c>
      <c r="J83" s="30">
        <f t="shared" ref="J83:J107" si="112">+(E83+H83+I83+(K83/12))/24</f>
        <v>1499014.1029513888</v>
      </c>
      <c r="K83" s="30">
        <f t="shared" si="89"/>
        <v>1046765.6499999999</v>
      </c>
      <c r="L83" s="30">
        <v>0</v>
      </c>
      <c r="M83" s="30">
        <f t="shared" si="81"/>
        <v>3328258.8971652053</v>
      </c>
      <c r="N83" s="30">
        <f t="shared" si="85"/>
        <v>1504219.0130310811</v>
      </c>
      <c r="O83" s="30"/>
      <c r="P83" s="30">
        <f t="shared" si="103"/>
        <v>43267365.663147673</v>
      </c>
      <c r="Q83" s="30"/>
      <c r="R83" s="30"/>
      <c r="S83" s="30"/>
      <c r="T83" s="30"/>
      <c r="U83" s="30">
        <f t="shared" si="90"/>
        <v>0</v>
      </c>
      <c r="V83" s="30">
        <f t="shared" si="88"/>
        <v>43267365.663147673</v>
      </c>
      <c r="W83" s="30">
        <f t="shared" si="91"/>
        <v>2243069.25</v>
      </c>
      <c r="X83" s="30">
        <v>0</v>
      </c>
      <c r="Y83" s="30">
        <f t="shared" si="59"/>
        <v>199383.93333333332</v>
      </c>
      <c r="Z83" s="30">
        <f t="shared" si="92"/>
        <v>2442453.1833333331</v>
      </c>
      <c r="AA83" s="30"/>
      <c r="AB83" s="30"/>
      <c r="AC83" s="30"/>
      <c r="AD83" s="30"/>
      <c r="AE83" s="30">
        <f t="shared" si="93"/>
        <v>0</v>
      </c>
      <c r="AF83" s="30">
        <f t="shared" si="94"/>
        <v>2442453.1833333331</v>
      </c>
      <c r="AG83" s="30">
        <f t="shared" ref="AG83:AG107" si="113">+(((D83+H83/12)*12%)*12)*C83</f>
        <v>4306692.959999999</v>
      </c>
      <c r="AH83" s="30">
        <f t="shared" ref="AH83:AH107" si="114">+(E83+H83+I83+K83/12)*0.085</f>
        <v>3057988.7700208332</v>
      </c>
      <c r="AI83" s="30">
        <f t="shared" ref="AI83" si="115">(E83+H83+I83+K83/12)/12</f>
        <v>2998028.2059027776</v>
      </c>
      <c r="AJ83" s="31">
        <f t="shared" si="104"/>
        <v>1659973.4172364532</v>
      </c>
      <c r="AK83" s="31">
        <f t="shared" si="105"/>
        <v>240483.22748769162</v>
      </c>
      <c r="AL83" s="30">
        <f t="shared" si="106"/>
        <v>1257364.1447835714</v>
      </c>
      <c r="AM83" s="31">
        <f t="shared" si="107"/>
        <v>234605.92389080458</v>
      </c>
      <c r="AN83" s="31">
        <f t="shared" si="108"/>
        <v>234605.92389080458</v>
      </c>
      <c r="AO83" s="30">
        <f t="shared" si="109"/>
        <v>431803.06784127292</v>
      </c>
      <c r="AP83" s="30">
        <v>0</v>
      </c>
      <c r="AQ83" s="32">
        <f t="shared" si="95"/>
        <v>14421545.641054207</v>
      </c>
      <c r="AR83" s="31">
        <f t="shared" si="110"/>
        <v>155978.85045350436</v>
      </c>
      <c r="AS83" s="31">
        <f t="shared" si="111"/>
        <v>147116.48552908498</v>
      </c>
      <c r="AT83" s="31">
        <f t="shared" si="96"/>
        <v>303095.33598258934</v>
      </c>
      <c r="AU83" s="33">
        <f t="shared" si="97"/>
        <v>60131364.487535208</v>
      </c>
    </row>
    <row r="84" spans="1:47" ht="15" customHeight="1" thickTop="1" thickBot="1" x14ac:dyDescent="0.25">
      <c r="A84" s="27" t="s">
        <v>86</v>
      </c>
      <c r="B84" s="39"/>
      <c r="C84" s="64">
        <f t="shared" ref="C84:AU84" si="116">SUM(C85:C107)</f>
        <v>131</v>
      </c>
      <c r="D84" s="61">
        <f t="shared" si="116"/>
        <v>37060565</v>
      </c>
      <c r="E84" s="61">
        <f t="shared" si="116"/>
        <v>2216520468</v>
      </c>
      <c r="F84" s="61">
        <f t="shared" si="116"/>
        <v>0</v>
      </c>
      <c r="G84" s="61">
        <f t="shared" si="116"/>
        <v>0</v>
      </c>
      <c r="H84" s="61">
        <f t="shared" si="116"/>
        <v>15863520</v>
      </c>
      <c r="I84" s="61">
        <f t="shared" si="116"/>
        <v>20982216</v>
      </c>
      <c r="J84" s="61">
        <f t="shared" si="116"/>
        <v>94177735.685416669</v>
      </c>
      <c r="K84" s="61">
        <f t="shared" si="116"/>
        <v>82793429.399999991</v>
      </c>
      <c r="L84" s="61">
        <f t="shared" si="116"/>
        <v>461775097.5</v>
      </c>
      <c r="M84" s="61">
        <f t="shared" si="116"/>
        <v>202230792.72298902</v>
      </c>
      <c r="N84" s="61">
        <f t="shared" si="116"/>
        <v>33277879.590451386</v>
      </c>
      <c r="O84" s="61">
        <f t="shared" si="116"/>
        <v>0</v>
      </c>
      <c r="P84" s="61">
        <f t="shared" si="116"/>
        <v>3127621138.8988571</v>
      </c>
      <c r="Q84" s="61">
        <f t="shared" si="116"/>
        <v>0</v>
      </c>
      <c r="R84" s="61">
        <f t="shared" si="116"/>
        <v>0</v>
      </c>
      <c r="S84" s="61">
        <f t="shared" si="116"/>
        <v>0</v>
      </c>
      <c r="T84" s="61">
        <f t="shared" si="116"/>
        <v>0</v>
      </c>
      <c r="U84" s="61">
        <f t="shared" si="116"/>
        <v>0</v>
      </c>
      <c r="V84" s="61">
        <f t="shared" si="116"/>
        <v>3127621138.8988571</v>
      </c>
      <c r="W84" s="61">
        <f t="shared" si="116"/>
        <v>141611029.90000001</v>
      </c>
      <c r="X84" s="61">
        <f t="shared" si="116"/>
        <v>20000000</v>
      </c>
      <c r="Y84" s="61">
        <f t="shared" si="116"/>
        <v>12314002.600000001</v>
      </c>
      <c r="Z84" s="61">
        <f t="shared" si="116"/>
        <v>173925032.49999997</v>
      </c>
      <c r="AA84" s="61">
        <f t="shared" si="116"/>
        <v>0</v>
      </c>
      <c r="AB84" s="61">
        <f t="shared" si="116"/>
        <v>0</v>
      </c>
      <c r="AC84" s="61">
        <f t="shared" si="116"/>
        <v>0</v>
      </c>
      <c r="AD84" s="61">
        <f t="shared" si="116"/>
        <v>0</v>
      </c>
      <c r="AE84" s="61">
        <f t="shared" si="116"/>
        <v>0</v>
      </c>
      <c r="AF84" s="61">
        <f t="shared" si="116"/>
        <v>173925032.49999997</v>
      </c>
      <c r="AG84" s="61">
        <f t="shared" si="116"/>
        <v>278165639.52000004</v>
      </c>
      <c r="AH84" s="61">
        <f t="shared" si="116"/>
        <v>192122580.79825005</v>
      </c>
      <c r="AI84" s="61">
        <f t="shared" si="116"/>
        <v>184710039</v>
      </c>
      <c r="AJ84" s="61">
        <f t="shared" si="116"/>
        <v>102520381.82839492</v>
      </c>
      <c r="AK84" s="61">
        <f t="shared" si="116"/>
        <v>14852305.494390352</v>
      </c>
      <c r="AL84" s="61">
        <f t="shared" si="116"/>
        <v>77655130.426816434</v>
      </c>
      <c r="AM84" s="61">
        <f t="shared" si="116"/>
        <v>14489321.724519273</v>
      </c>
      <c r="AN84" s="61">
        <f t="shared" si="116"/>
        <v>14489321.724519273</v>
      </c>
      <c r="AO84" s="61">
        <f t="shared" si="116"/>
        <v>26668267.654224616</v>
      </c>
      <c r="AP84" s="61">
        <f t="shared" si="116"/>
        <v>0</v>
      </c>
      <c r="AQ84" s="62">
        <f t="shared" si="116"/>
        <v>905672988.17111492</v>
      </c>
      <c r="AR84" s="61">
        <f t="shared" si="116"/>
        <v>9633293.6055502854</v>
      </c>
      <c r="AS84" s="61">
        <f t="shared" si="116"/>
        <v>9085951.686384704</v>
      </c>
      <c r="AT84" s="63">
        <f t="shared" si="116"/>
        <v>18719245.291934989</v>
      </c>
      <c r="AU84" s="62">
        <f t="shared" si="116"/>
        <v>4207219159.569972</v>
      </c>
    </row>
    <row r="85" spans="1:47" ht="15" customHeight="1" thickTop="1" x14ac:dyDescent="0.2">
      <c r="A85" s="41" t="s">
        <v>87</v>
      </c>
      <c r="B85" s="78" t="s">
        <v>110</v>
      </c>
      <c r="C85" s="35">
        <v>21</v>
      </c>
      <c r="D85" s="30">
        <v>1020643</v>
      </c>
      <c r="E85" s="30">
        <f t="shared" ref="E85:E107" si="117">D85*C85*12</f>
        <v>257202036</v>
      </c>
      <c r="F85" s="30">
        <v>0</v>
      </c>
      <c r="G85" s="30">
        <v>0</v>
      </c>
      <c r="H85" s="30">
        <f t="shared" si="101"/>
        <v>793176</v>
      </c>
      <c r="I85" s="30">
        <f t="shared" si="102"/>
        <v>1234248</v>
      </c>
      <c r="J85" s="30">
        <f t="shared" si="112"/>
        <v>10838438.442708334</v>
      </c>
      <c r="K85" s="30">
        <f t="shared" si="89"/>
        <v>10716751.5</v>
      </c>
      <c r="L85" s="30">
        <f t="shared" ref="L85:L107" si="118">+((((D85/30)/8)*50)*12)*C85</f>
        <v>53583757.5</v>
      </c>
      <c r="M85" s="30">
        <f t="shared" si="81"/>
        <v>23421984.439272277</v>
      </c>
      <c r="N85" s="30">
        <f t="shared" ref="N85:N107" si="119">+((D85+(F85/12)+(G85/12))/2+J85/12+K85/12)</f>
        <v>2306587.328559028</v>
      </c>
      <c r="O85" s="30"/>
      <c r="P85" s="30">
        <f t="shared" si="103"/>
        <v>360096979.21053964</v>
      </c>
      <c r="Q85" s="30"/>
      <c r="R85" s="30"/>
      <c r="S85" s="30"/>
      <c r="T85" s="30"/>
      <c r="U85" s="30">
        <f t="shared" ref="U85:U107" si="120">SUM(Q85:T85)</f>
        <v>0</v>
      </c>
      <c r="V85" s="30">
        <f t="shared" ref="V85:V107" si="121">P85+U85</f>
        <v>360096979.21053964</v>
      </c>
      <c r="W85" s="30">
        <f t="shared" ref="W85:W107" si="122">+(E85/360)*23</f>
        <v>16432352.299999999</v>
      </c>
      <c r="X85" s="30">
        <v>20000000</v>
      </c>
      <c r="Y85" s="30">
        <f t="shared" si="59"/>
        <v>1428900.2</v>
      </c>
      <c r="Z85" s="30">
        <f t="shared" ref="Z85" si="123">SUM(W85:Y85)</f>
        <v>37861252.5</v>
      </c>
      <c r="AA85" s="30"/>
      <c r="AB85" s="30"/>
      <c r="AC85" s="30"/>
      <c r="AD85" s="30"/>
      <c r="AE85" s="30">
        <f t="shared" ref="AE85:AE107" si="124">SUM(AA85:AD85)</f>
        <v>0</v>
      </c>
      <c r="AF85" s="30">
        <f t="shared" ref="AF85:AF107" si="125">Z85+AE85</f>
        <v>37861252.5</v>
      </c>
      <c r="AG85" s="30">
        <f t="shared" si="113"/>
        <v>32863047.84</v>
      </c>
      <c r="AH85" s="30">
        <f t="shared" si="114"/>
        <v>22110414.423125003</v>
      </c>
      <c r="AI85" s="30">
        <f t="shared" ref="AI85:AI107" si="126">+E85/12</f>
        <v>21433503</v>
      </c>
      <c r="AJ85" s="31">
        <f t="shared" si="104"/>
        <v>11896326.390143029</v>
      </c>
      <c r="AK85" s="31">
        <f t="shared" si="105"/>
        <v>1723441.43336428</v>
      </c>
      <c r="AL85" s="30">
        <f t="shared" si="106"/>
        <v>9010996.2619225122</v>
      </c>
      <c r="AM85" s="31">
        <f t="shared" si="107"/>
        <v>1681321.2878507865</v>
      </c>
      <c r="AN85" s="31">
        <f t="shared" si="108"/>
        <v>1681321.2878507865</v>
      </c>
      <c r="AO85" s="30">
        <f t="shared" si="109"/>
        <v>3094549.6945708855</v>
      </c>
      <c r="AP85" s="30">
        <v>0</v>
      </c>
      <c r="AQ85" s="32">
        <f t="shared" ref="AQ85:AQ107" si="127">SUM(AG85:AP85)</f>
        <v>105494921.61882728</v>
      </c>
      <c r="AR85" s="31">
        <f t="shared" si="110"/>
        <v>1117834.3554702126</v>
      </c>
      <c r="AS85" s="31">
        <f t="shared" si="111"/>
        <v>1054321.5397620136</v>
      </c>
      <c r="AT85" s="31">
        <f t="shared" ref="AT85:AT107" si="128">SUM(AR85:AS85)</f>
        <v>2172155.8952322262</v>
      </c>
      <c r="AU85" s="33">
        <f t="shared" ref="AU85:AU107" si="129">V85+AF85+AQ85</f>
        <v>503453153.32936692</v>
      </c>
    </row>
    <row r="86" spans="1:47" ht="15" customHeight="1" x14ac:dyDescent="0.2">
      <c r="A86" s="41" t="s">
        <v>87</v>
      </c>
      <c r="B86" s="78" t="s">
        <v>112</v>
      </c>
      <c r="C86" s="35">
        <v>1</v>
      </c>
      <c r="D86" s="30">
        <v>1150436</v>
      </c>
      <c r="E86" s="30">
        <f t="shared" si="117"/>
        <v>13805232</v>
      </c>
      <c r="F86" s="30">
        <v>0</v>
      </c>
      <c r="G86" s="30">
        <v>0</v>
      </c>
      <c r="H86" s="30">
        <f t="shared" si="101"/>
        <v>793176</v>
      </c>
      <c r="I86" s="30">
        <f t="shared" si="102"/>
        <v>1234248</v>
      </c>
      <c r="J86" s="30">
        <f t="shared" si="112"/>
        <v>661691.28472222225</v>
      </c>
      <c r="K86" s="30">
        <f t="shared" si="89"/>
        <v>575218</v>
      </c>
      <c r="L86" s="30">
        <f t="shared" si="118"/>
        <v>2876090</v>
      </c>
      <c r="M86" s="30">
        <f t="shared" si="81"/>
        <v>1310036.2548707561</v>
      </c>
      <c r="N86" s="30">
        <f t="shared" si="119"/>
        <v>678293.77372685191</v>
      </c>
      <c r="O86" s="30"/>
      <c r="P86" s="30">
        <f t="shared" si="103"/>
        <v>21933985.313319832</v>
      </c>
      <c r="Q86" s="30"/>
      <c r="R86" s="30"/>
      <c r="S86" s="30"/>
      <c r="T86" s="30"/>
      <c r="U86" s="30">
        <f t="shared" si="120"/>
        <v>0</v>
      </c>
      <c r="V86" s="30">
        <f t="shared" si="121"/>
        <v>21933985.313319832</v>
      </c>
      <c r="W86" s="30">
        <f t="shared" si="122"/>
        <v>882000.93333333335</v>
      </c>
      <c r="X86" s="30">
        <v>0</v>
      </c>
      <c r="Y86" s="30">
        <f t="shared" si="59"/>
        <v>76695.733333333337</v>
      </c>
      <c r="Z86" s="30">
        <f t="shared" ref="Z86:Z107" si="130">SUM(W86:Y86)</f>
        <v>958696.66666666674</v>
      </c>
      <c r="AA86" s="30"/>
      <c r="AB86" s="30"/>
      <c r="AC86" s="30"/>
      <c r="AD86" s="30"/>
      <c r="AE86" s="30">
        <f t="shared" si="124"/>
        <v>0</v>
      </c>
      <c r="AF86" s="30">
        <f t="shared" si="125"/>
        <v>958696.66666666674</v>
      </c>
      <c r="AG86" s="30">
        <f t="shared" si="113"/>
        <v>1751808.96</v>
      </c>
      <c r="AH86" s="30">
        <f t="shared" si="114"/>
        <v>1349850.2208333334</v>
      </c>
      <c r="AI86" s="30">
        <f t="shared" si="126"/>
        <v>1150436</v>
      </c>
      <c r="AJ86" s="31">
        <f t="shared" si="104"/>
        <v>638531.28193606914</v>
      </c>
      <c r="AK86" s="31">
        <f t="shared" si="105"/>
        <v>92505.134080689895</v>
      </c>
      <c r="AL86" s="30">
        <f t="shared" si="106"/>
        <v>483662.16644946404</v>
      </c>
      <c r="AM86" s="31">
        <f t="shared" si="107"/>
        <v>90244.349563853728</v>
      </c>
      <c r="AN86" s="31">
        <f t="shared" si="108"/>
        <v>90244.349563853728</v>
      </c>
      <c r="AO86" s="30">
        <f t="shared" si="109"/>
        <v>166098.9047111595</v>
      </c>
      <c r="AP86" s="30">
        <v>0</v>
      </c>
      <c r="AQ86" s="32">
        <f t="shared" si="127"/>
        <v>5813381.367138424</v>
      </c>
      <c r="AR86" s="31">
        <f t="shared" si="110"/>
        <v>59999.37968934566</v>
      </c>
      <c r="AS86" s="31">
        <f t="shared" si="111"/>
        <v>56590.350859476959</v>
      </c>
      <c r="AT86" s="31">
        <f t="shared" si="128"/>
        <v>116589.73054882261</v>
      </c>
      <c r="AU86" s="33">
        <f t="shared" si="129"/>
        <v>28706063.347124923</v>
      </c>
    </row>
    <row r="87" spans="1:47" ht="15" customHeight="1" x14ac:dyDescent="0.2">
      <c r="A87" s="41" t="s">
        <v>87</v>
      </c>
      <c r="B87" s="35">
        <v>10</v>
      </c>
      <c r="C87" s="35">
        <v>1</v>
      </c>
      <c r="D87" s="30">
        <v>1264462</v>
      </c>
      <c r="E87" s="30">
        <f t="shared" si="117"/>
        <v>15173544</v>
      </c>
      <c r="F87" s="30">
        <v>0</v>
      </c>
      <c r="G87" s="30">
        <v>0</v>
      </c>
      <c r="H87" s="30">
        <f t="shared" si="101"/>
        <v>793176</v>
      </c>
      <c r="I87" s="30">
        <f t="shared" si="102"/>
        <v>1234248</v>
      </c>
      <c r="J87" s="30">
        <f t="shared" si="112"/>
        <v>718902.24652777787</v>
      </c>
      <c r="K87" s="30">
        <f t="shared" si="89"/>
        <v>632231</v>
      </c>
      <c r="L87" s="30">
        <f t="shared" si="118"/>
        <v>3161155</v>
      </c>
      <c r="M87" s="30">
        <f t="shared" si="81"/>
        <v>1439125.2236448689</v>
      </c>
      <c r="N87" s="30">
        <f t="shared" si="119"/>
        <v>744825.43721064809</v>
      </c>
      <c r="O87" s="30"/>
      <c r="P87" s="30">
        <f t="shared" si="103"/>
        <v>23897206.907383293</v>
      </c>
      <c r="Q87" s="30"/>
      <c r="R87" s="30"/>
      <c r="S87" s="30"/>
      <c r="T87" s="30"/>
      <c r="U87" s="30">
        <f t="shared" si="120"/>
        <v>0</v>
      </c>
      <c r="V87" s="30">
        <f t="shared" si="121"/>
        <v>23897206.907383293</v>
      </c>
      <c r="W87" s="30">
        <f t="shared" si="122"/>
        <v>969420.86666666658</v>
      </c>
      <c r="X87" s="30">
        <v>0</v>
      </c>
      <c r="Y87" s="30">
        <f t="shared" si="59"/>
        <v>84297.46666666666</v>
      </c>
      <c r="Z87" s="30">
        <f t="shared" si="130"/>
        <v>1053718.3333333333</v>
      </c>
      <c r="AA87" s="30"/>
      <c r="AB87" s="30"/>
      <c r="AC87" s="30"/>
      <c r="AD87" s="30"/>
      <c r="AE87" s="30">
        <f t="shared" si="124"/>
        <v>0</v>
      </c>
      <c r="AF87" s="30">
        <f t="shared" si="125"/>
        <v>1053718.3333333333</v>
      </c>
      <c r="AG87" s="30">
        <f t="shared" si="113"/>
        <v>1916006.3999999999</v>
      </c>
      <c r="AH87" s="30">
        <f t="shared" si="114"/>
        <v>1466560.582916667</v>
      </c>
      <c r="AI87" s="30">
        <f t="shared" si="126"/>
        <v>1264462</v>
      </c>
      <c r="AJ87" s="31">
        <f t="shared" si="104"/>
        <v>701819.6073657691</v>
      </c>
      <c r="AK87" s="31">
        <f t="shared" si="105"/>
        <v>101673.82353293647</v>
      </c>
      <c r="AL87" s="30">
        <f t="shared" si="106"/>
        <v>531600.56736143702</v>
      </c>
      <c r="AM87" s="31">
        <f t="shared" si="107"/>
        <v>99188.960305666391</v>
      </c>
      <c r="AN87" s="31">
        <f t="shared" si="108"/>
        <v>99188.960305666391</v>
      </c>
      <c r="AO87" s="30">
        <f t="shared" si="109"/>
        <v>182561.87501858617</v>
      </c>
      <c r="AP87" s="30">
        <v>0</v>
      </c>
      <c r="AQ87" s="32">
        <f t="shared" si="127"/>
        <v>6363062.7768067289</v>
      </c>
      <c r="AR87" s="31">
        <f t="shared" si="110"/>
        <v>65946.246154283595</v>
      </c>
      <c r="AS87" s="31">
        <f t="shared" si="111"/>
        <v>62199.329844055595</v>
      </c>
      <c r="AT87" s="31">
        <f t="shared" si="128"/>
        <v>128145.57599833919</v>
      </c>
      <c r="AU87" s="33">
        <f t="shared" si="129"/>
        <v>31313988.017523356</v>
      </c>
    </row>
    <row r="88" spans="1:47" ht="15" customHeight="1" x14ac:dyDescent="0.2">
      <c r="A88" s="41" t="s">
        <v>87</v>
      </c>
      <c r="B88" s="35">
        <v>12</v>
      </c>
      <c r="C88" s="35">
        <v>2</v>
      </c>
      <c r="D88" s="30">
        <v>1465479</v>
      </c>
      <c r="E88" s="30">
        <f t="shared" si="117"/>
        <v>35171496</v>
      </c>
      <c r="F88" s="30">
        <v>0</v>
      </c>
      <c r="G88" s="30">
        <v>0</v>
      </c>
      <c r="H88" s="30">
        <f t="shared" si="101"/>
        <v>793176</v>
      </c>
      <c r="I88" s="30">
        <f t="shared" si="102"/>
        <v>1234248</v>
      </c>
      <c r="J88" s="30">
        <f t="shared" si="112"/>
        <v>1555043.46875</v>
      </c>
      <c r="K88" s="30">
        <f t="shared" si="89"/>
        <v>1465479</v>
      </c>
      <c r="L88" s="30">
        <f t="shared" si="118"/>
        <v>7327395</v>
      </c>
      <c r="M88" s="30">
        <f t="shared" si="81"/>
        <v>3264705.681206597</v>
      </c>
      <c r="N88" s="30">
        <f t="shared" si="119"/>
        <v>984449.70572916663</v>
      </c>
      <c r="O88" s="30"/>
      <c r="P88" s="30">
        <f t="shared" si="103"/>
        <v>51795992.855685763</v>
      </c>
      <c r="Q88" s="30"/>
      <c r="R88" s="30"/>
      <c r="S88" s="30"/>
      <c r="T88" s="30"/>
      <c r="U88" s="30">
        <f t="shared" si="120"/>
        <v>0</v>
      </c>
      <c r="V88" s="30">
        <f t="shared" si="121"/>
        <v>51795992.855685763</v>
      </c>
      <c r="W88" s="30">
        <f t="shared" si="122"/>
        <v>2247067.8000000003</v>
      </c>
      <c r="X88" s="30">
        <v>0</v>
      </c>
      <c r="Y88" s="30">
        <f t="shared" si="59"/>
        <v>195397.2</v>
      </c>
      <c r="Z88" s="30">
        <f t="shared" si="130"/>
        <v>2442465.0000000005</v>
      </c>
      <c r="AA88" s="30"/>
      <c r="AB88" s="30"/>
      <c r="AC88" s="30"/>
      <c r="AD88" s="30"/>
      <c r="AE88" s="30">
        <f t="shared" si="124"/>
        <v>0</v>
      </c>
      <c r="AF88" s="30">
        <f t="shared" si="125"/>
        <v>2442465.0000000005</v>
      </c>
      <c r="AG88" s="30">
        <f t="shared" si="113"/>
        <v>4410941.76</v>
      </c>
      <c r="AH88" s="30">
        <f t="shared" si="114"/>
        <v>3172288.67625</v>
      </c>
      <c r="AI88" s="30">
        <f t="shared" si="126"/>
        <v>2930958</v>
      </c>
      <c r="AJ88" s="31">
        <f t="shared" si="104"/>
        <v>1626781.8192761503</v>
      </c>
      <c r="AK88" s="31">
        <f t="shared" si="105"/>
        <v>235674.70313417754</v>
      </c>
      <c r="AL88" s="30">
        <f t="shared" si="106"/>
        <v>1232222.8233925123</v>
      </c>
      <c r="AM88" s="31">
        <f t="shared" si="107"/>
        <v>229914.91774333693</v>
      </c>
      <c r="AN88" s="31">
        <f t="shared" si="108"/>
        <v>229914.91774333693</v>
      </c>
      <c r="AO88" s="30">
        <f t="shared" si="109"/>
        <v>423169.05377996748</v>
      </c>
      <c r="AP88" s="30">
        <v>0</v>
      </c>
      <c r="AQ88" s="32">
        <f t="shared" si="127"/>
        <v>14491866.671319479</v>
      </c>
      <c r="AR88" s="31">
        <f t="shared" si="110"/>
        <v>152860.01298249117</v>
      </c>
      <c r="AS88" s="31">
        <f t="shared" si="111"/>
        <v>144174.85333768316</v>
      </c>
      <c r="AT88" s="31">
        <f t="shared" si="128"/>
        <v>297034.8663201743</v>
      </c>
      <c r="AU88" s="33">
        <f t="shared" si="129"/>
        <v>68730324.52700524</v>
      </c>
    </row>
    <row r="89" spans="1:47" ht="15" customHeight="1" x14ac:dyDescent="0.2">
      <c r="A89" s="41" t="s">
        <v>87</v>
      </c>
      <c r="B89" s="35">
        <v>14</v>
      </c>
      <c r="C89" s="35">
        <v>3</v>
      </c>
      <c r="D89" s="30">
        <v>1545994</v>
      </c>
      <c r="E89" s="30">
        <f t="shared" si="117"/>
        <v>55655784</v>
      </c>
      <c r="F89" s="30">
        <v>0</v>
      </c>
      <c r="G89" s="30">
        <v>0</v>
      </c>
      <c r="H89" s="30">
        <f t="shared" si="101"/>
        <v>793176</v>
      </c>
      <c r="I89" s="30">
        <f t="shared" si="102"/>
        <v>1234248</v>
      </c>
      <c r="J89" s="30">
        <f t="shared" si="112"/>
        <v>2411519.0520833335</v>
      </c>
      <c r="K89" s="30">
        <f t="shared" si="89"/>
        <v>2318991</v>
      </c>
      <c r="L89" s="30">
        <f t="shared" si="118"/>
        <v>11594955</v>
      </c>
      <c r="M89" s="30">
        <f t="shared" si="81"/>
        <v>5129458.3519241894</v>
      </c>
      <c r="N89" s="30">
        <f t="shared" si="119"/>
        <v>1167206.1710069445</v>
      </c>
      <c r="O89" s="30"/>
      <c r="P89" s="30">
        <f t="shared" si="103"/>
        <v>80305337.575014487</v>
      </c>
      <c r="Q89" s="30"/>
      <c r="R89" s="30"/>
      <c r="S89" s="30"/>
      <c r="T89" s="30"/>
      <c r="U89" s="30">
        <f t="shared" si="120"/>
        <v>0</v>
      </c>
      <c r="V89" s="30">
        <f t="shared" si="121"/>
        <v>80305337.575014487</v>
      </c>
      <c r="W89" s="30">
        <f t="shared" si="122"/>
        <v>3555786.1999999997</v>
      </c>
      <c r="X89" s="30">
        <v>0</v>
      </c>
      <c r="Y89" s="30">
        <f t="shared" si="59"/>
        <v>309198.8</v>
      </c>
      <c r="Z89" s="30">
        <f t="shared" si="130"/>
        <v>3864984.9999999995</v>
      </c>
      <c r="AA89" s="30"/>
      <c r="AB89" s="30"/>
      <c r="AC89" s="30"/>
      <c r="AD89" s="30"/>
      <c r="AE89" s="30">
        <f t="shared" si="124"/>
        <v>0</v>
      </c>
      <c r="AF89" s="30">
        <f t="shared" si="125"/>
        <v>3864984.9999999995</v>
      </c>
      <c r="AG89" s="30">
        <f t="shared" si="113"/>
        <v>6964237.4399999985</v>
      </c>
      <c r="AH89" s="30">
        <f t="shared" si="114"/>
        <v>4919498.86625</v>
      </c>
      <c r="AI89" s="30">
        <f t="shared" si="126"/>
        <v>4637982</v>
      </c>
      <c r="AJ89" s="31">
        <f t="shared" si="104"/>
        <v>2574238.4557301872</v>
      </c>
      <c r="AK89" s="31">
        <f t="shared" si="105"/>
        <v>372934.38902627025</v>
      </c>
      <c r="AL89" s="30">
        <f t="shared" si="106"/>
        <v>1949883.7154553737</v>
      </c>
      <c r="AM89" s="31">
        <f t="shared" si="107"/>
        <v>363820.0376890687</v>
      </c>
      <c r="AN89" s="31">
        <f t="shared" si="108"/>
        <v>363820.0376890687</v>
      </c>
      <c r="AO89" s="30">
        <f t="shared" si="109"/>
        <v>669627.62836878619</v>
      </c>
      <c r="AP89" s="30">
        <v>0</v>
      </c>
      <c r="AQ89" s="32">
        <f t="shared" si="127"/>
        <v>22816042.570208751</v>
      </c>
      <c r="AR89" s="31">
        <f t="shared" si="110"/>
        <v>241887.46093685419</v>
      </c>
      <c r="AS89" s="31">
        <f t="shared" si="111"/>
        <v>228143.9633842636</v>
      </c>
      <c r="AT89" s="31">
        <f t="shared" si="128"/>
        <v>470031.42432111781</v>
      </c>
      <c r="AU89" s="33">
        <f t="shared" si="129"/>
        <v>106986365.14522323</v>
      </c>
    </row>
    <row r="90" spans="1:47" ht="15" customHeight="1" x14ac:dyDescent="0.2">
      <c r="A90" s="41" t="s">
        <v>87</v>
      </c>
      <c r="B90" s="35">
        <v>15</v>
      </c>
      <c r="C90" s="35">
        <v>2</v>
      </c>
      <c r="D90" s="30">
        <v>1594046</v>
      </c>
      <c r="E90" s="30">
        <f t="shared" si="117"/>
        <v>38257104</v>
      </c>
      <c r="F90" s="30">
        <v>0</v>
      </c>
      <c r="G90" s="30">
        <v>0</v>
      </c>
      <c r="H90" s="30">
        <f t="shared" si="101"/>
        <v>793176</v>
      </c>
      <c r="I90" s="30">
        <f t="shared" si="102"/>
        <v>1234248</v>
      </c>
      <c r="J90" s="30">
        <f t="shared" si="112"/>
        <v>1684056.8819444443</v>
      </c>
      <c r="K90" s="30">
        <f t="shared" si="89"/>
        <v>1594046</v>
      </c>
      <c r="L90" s="30">
        <f t="shared" si="118"/>
        <v>7970230</v>
      </c>
      <c r="M90" s="30">
        <f t="shared" si="81"/>
        <v>3550450.4268422066</v>
      </c>
      <c r="N90" s="30">
        <f t="shared" si="119"/>
        <v>1070198.2401620371</v>
      </c>
      <c r="O90" s="30"/>
      <c r="P90" s="30">
        <f t="shared" si="103"/>
        <v>56153509.54894869</v>
      </c>
      <c r="Q90" s="30"/>
      <c r="R90" s="30"/>
      <c r="S90" s="30"/>
      <c r="T90" s="30"/>
      <c r="U90" s="30">
        <f t="shared" si="120"/>
        <v>0</v>
      </c>
      <c r="V90" s="30">
        <f t="shared" si="121"/>
        <v>56153509.54894869</v>
      </c>
      <c r="W90" s="30">
        <f t="shared" si="122"/>
        <v>2444203.8666666667</v>
      </c>
      <c r="X90" s="30">
        <v>0</v>
      </c>
      <c r="Y90" s="30">
        <f t="shared" si="59"/>
        <v>212539.46666666667</v>
      </c>
      <c r="Z90" s="30">
        <f t="shared" si="130"/>
        <v>2656743.3333333335</v>
      </c>
      <c r="AA90" s="30"/>
      <c r="AB90" s="30"/>
      <c r="AC90" s="30"/>
      <c r="AD90" s="30"/>
      <c r="AE90" s="30">
        <f t="shared" si="124"/>
        <v>0</v>
      </c>
      <c r="AF90" s="30">
        <f t="shared" si="125"/>
        <v>2656743.3333333335</v>
      </c>
      <c r="AG90" s="30">
        <f t="shared" si="113"/>
        <v>4781214.72</v>
      </c>
      <c r="AH90" s="30">
        <f t="shared" si="114"/>
        <v>3435476.0391666666</v>
      </c>
      <c r="AI90" s="30">
        <f t="shared" si="126"/>
        <v>3188092</v>
      </c>
      <c r="AJ90" s="31">
        <f t="shared" si="104"/>
        <v>1769499.973653577</v>
      </c>
      <c r="AK90" s="31">
        <f t="shared" si="105"/>
        <v>256350.52964404345</v>
      </c>
      <c r="AL90" s="30">
        <f t="shared" si="106"/>
        <v>1340326.1750851022</v>
      </c>
      <c r="AM90" s="31">
        <f t="shared" si="107"/>
        <v>250085.43620829459</v>
      </c>
      <c r="AN90" s="31">
        <f t="shared" si="108"/>
        <v>250085.43620829459</v>
      </c>
      <c r="AO90" s="30">
        <f t="shared" si="109"/>
        <v>460293.82713893685</v>
      </c>
      <c r="AP90" s="30">
        <v>0</v>
      </c>
      <c r="AQ90" s="32">
        <f t="shared" si="127"/>
        <v>15731424.137104915</v>
      </c>
      <c r="AR90" s="31">
        <f t="shared" si="110"/>
        <v>166270.47692576153</v>
      </c>
      <c r="AS90" s="31">
        <f t="shared" si="111"/>
        <v>156823.36510009388</v>
      </c>
      <c r="AT90" s="31">
        <f t="shared" si="128"/>
        <v>323093.84202585544</v>
      </c>
      <c r="AU90" s="33">
        <f t="shared" si="129"/>
        <v>74541677.019386947</v>
      </c>
    </row>
    <row r="91" spans="1:47" ht="15" customHeight="1" x14ac:dyDescent="0.2">
      <c r="A91" s="41" t="s">
        <v>87</v>
      </c>
      <c r="B91" s="35">
        <v>16</v>
      </c>
      <c r="C91" s="35">
        <v>5</v>
      </c>
      <c r="D91" s="30">
        <v>1664922</v>
      </c>
      <c r="E91" s="30">
        <f t="shared" si="117"/>
        <v>99895320</v>
      </c>
      <c r="F91" s="30">
        <v>0</v>
      </c>
      <c r="G91" s="30">
        <v>0</v>
      </c>
      <c r="H91" s="30">
        <f t="shared" si="101"/>
        <v>793176</v>
      </c>
      <c r="I91" s="30">
        <f t="shared" si="102"/>
        <v>1234248</v>
      </c>
      <c r="J91" s="30">
        <f t="shared" si="112"/>
        <v>4261233.447916667</v>
      </c>
      <c r="K91" s="30">
        <f t="shared" si="89"/>
        <v>4162305</v>
      </c>
      <c r="L91" s="30">
        <f t="shared" si="118"/>
        <v>20811525</v>
      </c>
      <c r="M91" s="30">
        <f t="shared" si="81"/>
        <v>9154440.0821035877</v>
      </c>
      <c r="N91" s="30">
        <f t="shared" si="119"/>
        <v>1534422.537326389</v>
      </c>
      <c r="O91" s="30"/>
      <c r="P91" s="30">
        <f t="shared" si="103"/>
        <v>141846670.06734666</v>
      </c>
      <c r="Q91" s="30"/>
      <c r="R91" s="30"/>
      <c r="S91" s="30"/>
      <c r="T91" s="30"/>
      <c r="U91" s="30">
        <f t="shared" si="120"/>
        <v>0</v>
      </c>
      <c r="V91" s="30">
        <f t="shared" si="121"/>
        <v>141846670.06734666</v>
      </c>
      <c r="W91" s="30">
        <f t="shared" si="122"/>
        <v>6382201</v>
      </c>
      <c r="X91" s="30">
        <v>0</v>
      </c>
      <c r="Y91" s="30">
        <f t="shared" ref="Y91:Y107" si="131">+((D91/30)*2)*C91</f>
        <v>554974</v>
      </c>
      <c r="Z91" s="30">
        <f t="shared" si="130"/>
        <v>6937175</v>
      </c>
      <c r="AA91" s="30"/>
      <c r="AB91" s="30"/>
      <c r="AC91" s="30"/>
      <c r="AD91" s="30"/>
      <c r="AE91" s="30">
        <f t="shared" si="124"/>
        <v>0</v>
      </c>
      <c r="AF91" s="30">
        <f t="shared" si="125"/>
        <v>6937175</v>
      </c>
      <c r="AG91" s="30">
        <f t="shared" si="113"/>
        <v>12463344</v>
      </c>
      <c r="AH91" s="30">
        <f t="shared" si="114"/>
        <v>8692916.2337500006</v>
      </c>
      <c r="AI91" s="30">
        <f t="shared" si="126"/>
        <v>8324610</v>
      </c>
      <c r="AJ91" s="31">
        <f t="shared" si="104"/>
        <v>4620442.9406918949</v>
      </c>
      <c r="AK91" s="31">
        <f t="shared" si="105"/>
        <v>669371.58105227235</v>
      </c>
      <c r="AL91" s="30">
        <f t="shared" si="106"/>
        <v>3499802.6030538622</v>
      </c>
      <c r="AM91" s="31">
        <f t="shared" si="107"/>
        <v>653012.43600057065</v>
      </c>
      <c r="AN91" s="31">
        <f t="shared" si="108"/>
        <v>653012.43600057065</v>
      </c>
      <c r="AO91" s="30">
        <f t="shared" si="109"/>
        <v>1201899.630355418</v>
      </c>
      <c r="AP91" s="30">
        <v>0</v>
      </c>
      <c r="AQ91" s="32">
        <f t="shared" si="127"/>
        <v>40778411.860904589</v>
      </c>
      <c r="AR91" s="31">
        <f t="shared" si="110"/>
        <v>434158.38530411414</v>
      </c>
      <c r="AS91" s="31">
        <f t="shared" si="111"/>
        <v>409490.48940428707</v>
      </c>
      <c r="AT91" s="31">
        <f t="shared" si="128"/>
        <v>843648.87470840127</v>
      </c>
      <c r="AU91" s="33">
        <f t="shared" si="129"/>
        <v>189562256.92825127</v>
      </c>
    </row>
    <row r="92" spans="1:47" ht="15" customHeight="1" x14ac:dyDescent="0.2">
      <c r="A92" s="41" t="s">
        <v>88</v>
      </c>
      <c r="B92" s="78" t="s">
        <v>110</v>
      </c>
      <c r="C92" s="35">
        <v>9</v>
      </c>
      <c r="D92" s="30">
        <v>1020643</v>
      </c>
      <c r="E92" s="30">
        <f t="shared" si="117"/>
        <v>110229444</v>
      </c>
      <c r="F92" s="30">
        <v>0</v>
      </c>
      <c r="G92" s="30">
        <v>0</v>
      </c>
      <c r="H92" s="30">
        <f t="shared" si="101"/>
        <v>793176</v>
      </c>
      <c r="I92" s="30">
        <f t="shared" si="102"/>
        <v>1234248</v>
      </c>
      <c r="J92" s="30">
        <f t="shared" si="112"/>
        <v>4693317.046875</v>
      </c>
      <c r="K92" s="30">
        <f t="shared" si="89"/>
        <v>4592893.5</v>
      </c>
      <c r="L92" s="30">
        <f t="shared" si="118"/>
        <v>22964467.5</v>
      </c>
      <c r="M92" s="30">
        <f t="shared" si="81"/>
        <v>10066652.243815104</v>
      </c>
      <c r="N92" s="30">
        <f t="shared" si="119"/>
        <v>1284172.37890625</v>
      </c>
      <c r="O92" s="30"/>
      <c r="P92" s="30">
        <f t="shared" si="103"/>
        <v>155858370.66959634</v>
      </c>
      <c r="Q92" s="30"/>
      <c r="R92" s="30"/>
      <c r="S92" s="30"/>
      <c r="T92" s="30"/>
      <c r="U92" s="30">
        <f t="shared" si="120"/>
        <v>0</v>
      </c>
      <c r="V92" s="30">
        <f t="shared" si="121"/>
        <v>155858370.66959634</v>
      </c>
      <c r="W92" s="30">
        <f t="shared" si="122"/>
        <v>7042436.7000000002</v>
      </c>
      <c r="X92" s="30">
        <v>0</v>
      </c>
      <c r="Y92" s="30">
        <f t="shared" si="131"/>
        <v>612385.80000000005</v>
      </c>
      <c r="Z92" s="30">
        <f t="shared" si="130"/>
        <v>7654822.5</v>
      </c>
      <c r="AA92" s="30"/>
      <c r="AB92" s="30"/>
      <c r="AC92" s="30"/>
      <c r="AD92" s="30"/>
      <c r="AE92" s="30">
        <f t="shared" si="124"/>
        <v>0</v>
      </c>
      <c r="AF92" s="30">
        <f t="shared" si="125"/>
        <v>7654822.5</v>
      </c>
      <c r="AG92" s="30">
        <f t="shared" si="113"/>
        <v>14084163.359999999</v>
      </c>
      <c r="AH92" s="30">
        <f t="shared" si="114"/>
        <v>9574366.7756249998</v>
      </c>
      <c r="AI92" s="30">
        <f t="shared" si="126"/>
        <v>9185787</v>
      </c>
      <c r="AJ92" s="31">
        <f t="shared" si="104"/>
        <v>5098425.5957755838</v>
      </c>
      <c r="AK92" s="31">
        <f t="shared" si="105"/>
        <v>738617.75715612015</v>
      </c>
      <c r="AL92" s="30">
        <f t="shared" si="106"/>
        <v>3861855.5408239337</v>
      </c>
      <c r="AM92" s="31">
        <f t="shared" si="107"/>
        <v>720566.26622176566</v>
      </c>
      <c r="AN92" s="31">
        <f t="shared" si="108"/>
        <v>720566.26622176566</v>
      </c>
      <c r="AO92" s="30">
        <f t="shared" si="109"/>
        <v>1326235.5833875225</v>
      </c>
      <c r="AP92" s="30">
        <v>0</v>
      </c>
      <c r="AQ92" s="32">
        <f t="shared" si="127"/>
        <v>45310584.145211697</v>
      </c>
      <c r="AR92" s="31">
        <f t="shared" si="110"/>
        <v>479071.8666300911</v>
      </c>
      <c r="AS92" s="31">
        <f t="shared" si="111"/>
        <v>451852.08846943441</v>
      </c>
      <c r="AT92" s="31">
        <f t="shared" si="128"/>
        <v>930923.95509952551</v>
      </c>
      <c r="AU92" s="33">
        <f t="shared" si="129"/>
        <v>208823777.31480804</v>
      </c>
    </row>
    <row r="93" spans="1:47" ht="15" customHeight="1" x14ac:dyDescent="0.2">
      <c r="A93" s="41" t="s">
        <v>89</v>
      </c>
      <c r="B93" s="35">
        <v>11</v>
      </c>
      <c r="C93" s="35">
        <v>8</v>
      </c>
      <c r="D93" s="30">
        <v>1364839</v>
      </c>
      <c r="E93" s="30">
        <f t="shared" si="117"/>
        <v>131024544</v>
      </c>
      <c r="F93" s="30">
        <v>0</v>
      </c>
      <c r="G93" s="30">
        <v>0</v>
      </c>
      <c r="H93" s="30">
        <f t="shared" si="101"/>
        <v>793176</v>
      </c>
      <c r="I93" s="30">
        <f t="shared" si="102"/>
        <v>1234248</v>
      </c>
      <c r="J93" s="30">
        <f t="shared" si="112"/>
        <v>5562788.097222222</v>
      </c>
      <c r="K93" s="30">
        <f t="shared" si="89"/>
        <v>5459356</v>
      </c>
      <c r="L93" s="30">
        <f t="shared" si="118"/>
        <v>27296780</v>
      </c>
      <c r="M93" s="30">
        <f t="shared" si="81"/>
        <v>11970634.96711034</v>
      </c>
      <c r="N93" s="30">
        <f t="shared" si="119"/>
        <v>1600931.5081018517</v>
      </c>
      <c r="O93" s="30"/>
      <c r="P93" s="30">
        <f t="shared" si="103"/>
        <v>184942458.5724344</v>
      </c>
      <c r="Q93" s="30"/>
      <c r="R93" s="30"/>
      <c r="S93" s="30"/>
      <c r="T93" s="30"/>
      <c r="U93" s="30">
        <f t="shared" si="120"/>
        <v>0</v>
      </c>
      <c r="V93" s="30">
        <f t="shared" si="121"/>
        <v>184942458.5724344</v>
      </c>
      <c r="W93" s="30">
        <f t="shared" si="122"/>
        <v>8371012.5333333332</v>
      </c>
      <c r="X93" s="30">
        <v>0</v>
      </c>
      <c r="Y93" s="30">
        <f t="shared" si="131"/>
        <v>727914.1333333333</v>
      </c>
      <c r="Z93" s="30">
        <f t="shared" si="130"/>
        <v>9098926.666666666</v>
      </c>
      <c r="AA93" s="30"/>
      <c r="AB93" s="30"/>
      <c r="AC93" s="30"/>
      <c r="AD93" s="30"/>
      <c r="AE93" s="30">
        <f t="shared" si="124"/>
        <v>0</v>
      </c>
      <c r="AF93" s="30">
        <f t="shared" si="125"/>
        <v>9098926.666666666</v>
      </c>
      <c r="AG93" s="30">
        <f t="shared" si="113"/>
        <v>16484394.24</v>
      </c>
      <c r="AH93" s="30">
        <f t="shared" si="114"/>
        <v>11348087.718333334</v>
      </c>
      <c r="AI93" s="30">
        <f t="shared" si="126"/>
        <v>10918712</v>
      </c>
      <c r="AJ93" s="31">
        <f t="shared" si="104"/>
        <v>6060258.1720762746</v>
      </c>
      <c r="AK93" s="31">
        <f t="shared" si="105"/>
        <v>877960.11038287892</v>
      </c>
      <c r="AL93" s="30">
        <f t="shared" si="106"/>
        <v>4590405.6381734936</v>
      </c>
      <c r="AM93" s="31">
        <f t="shared" si="107"/>
        <v>856503.15403468302</v>
      </c>
      <c r="AN93" s="31">
        <f t="shared" si="108"/>
        <v>856503.15403468302</v>
      </c>
      <c r="AO93" s="30">
        <f t="shared" si="109"/>
        <v>1576433.7208298366</v>
      </c>
      <c r="AP93" s="30">
        <v>0</v>
      </c>
      <c r="AQ93" s="32">
        <f t="shared" si="127"/>
        <v>53569257.907865182</v>
      </c>
      <c r="AR93" s="31">
        <f t="shared" si="110"/>
        <v>569450.14499425853</v>
      </c>
      <c r="AS93" s="31">
        <f t="shared" si="111"/>
        <v>537095.27780213882</v>
      </c>
      <c r="AT93" s="31">
        <f t="shared" si="128"/>
        <v>1106545.4227963975</v>
      </c>
      <c r="AU93" s="33">
        <f t="shared" si="129"/>
        <v>247610643.14696622</v>
      </c>
    </row>
    <row r="94" spans="1:47" ht="15" customHeight="1" x14ac:dyDescent="0.2">
      <c r="A94" s="41" t="s">
        <v>89</v>
      </c>
      <c r="B94" s="35">
        <v>15</v>
      </c>
      <c r="C94" s="35">
        <v>2</v>
      </c>
      <c r="D94" s="30">
        <v>1594046</v>
      </c>
      <c r="E94" s="30">
        <f t="shared" si="117"/>
        <v>38257104</v>
      </c>
      <c r="F94" s="30">
        <v>0</v>
      </c>
      <c r="G94" s="30">
        <v>0</v>
      </c>
      <c r="H94" s="30">
        <f t="shared" si="101"/>
        <v>793176</v>
      </c>
      <c r="I94" s="30">
        <f t="shared" si="102"/>
        <v>1234248</v>
      </c>
      <c r="J94" s="30">
        <f t="shared" si="112"/>
        <v>1684056.8819444443</v>
      </c>
      <c r="K94" s="30">
        <f t="shared" si="89"/>
        <v>1594046</v>
      </c>
      <c r="L94" s="30">
        <f t="shared" si="118"/>
        <v>7970230</v>
      </c>
      <c r="M94" s="30">
        <f t="shared" si="81"/>
        <v>3550450.4268422066</v>
      </c>
      <c r="N94" s="30">
        <f t="shared" si="119"/>
        <v>1070198.2401620371</v>
      </c>
      <c r="O94" s="30"/>
      <c r="P94" s="30">
        <f t="shared" si="103"/>
        <v>56153509.54894869</v>
      </c>
      <c r="Q94" s="30"/>
      <c r="R94" s="30"/>
      <c r="S94" s="30"/>
      <c r="T94" s="30"/>
      <c r="U94" s="30">
        <f t="shared" si="120"/>
        <v>0</v>
      </c>
      <c r="V94" s="30">
        <f t="shared" si="121"/>
        <v>56153509.54894869</v>
      </c>
      <c r="W94" s="30">
        <f t="shared" si="122"/>
        <v>2444203.8666666667</v>
      </c>
      <c r="X94" s="30">
        <v>0</v>
      </c>
      <c r="Y94" s="30">
        <f t="shared" si="131"/>
        <v>212539.46666666667</v>
      </c>
      <c r="Z94" s="30">
        <f t="shared" si="130"/>
        <v>2656743.3333333335</v>
      </c>
      <c r="AA94" s="30"/>
      <c r="AB94" s="30"/>
      <c r="AC94" s="30"/>
      <c r="AD94" s="30"/>
      <c r="AE94" s="30">
        <f t="shared" si="124"/>
        <v>0</v>
      </c>
      <c r="AF94" s="30">
        <f t="shared" si="125"/>
        <v>2656743.3333333335</v>
      </c>
      <c r="AG94" s="30">
        <f t="shared" si="113"/>
        <v>4781214.72</v>
      </c>
      <c r="AH94" s="30">
        <f t="shared" si="114"/>
        <v>3435476.0391666666</v>
      </c>
      <c r="AI94" s="30">
        <f t="shared" si="126"/>
        <v>3188092</v>
      </c>
      <c r="AJ94" s="31">
        <f t="shared" si="104"/>
        <v>1769499.973653577</v>
      </c>
      <c r="AK94" s="31">
        <f t="shared" si="105"/>
        <v>256350.52964404345</v>
      </c>
      <c r="AL94" s="30">
        <f t="shared" si="106"/>
        <v>1340326.1750851022</v>
      </c>
      <c r="AM94" s="31">
        <f t="shared" si="107"/>
        <v>250085.43620829459</v>
      </c>
      <c r="AN94" s="31">
        <f t="shared" si="108"/>
        <v>250085.43620829459</v>
      </c>
      <c r="AO94" s="30">
        <f t="shared" si="109"/>
        <v>460293.82713893685</v>
      </c>
      <c r="AP94" s="30">
        <v>0</v>
      </c>
      <c r="AQ94" s="32">
        <f t="shared" si="127"/>
        <v>15731424.137104915</v>
      </c>
      <c r="AR94" s="31">
        <f t="shared" si="110"/>
        <v>166270.47692576153</v>
      </c>
      <c r="AS94" s="31">
        <f t="shared" si="111"/>
        <v>156823.36510009388</v>
      </c>
      <c r="AT94" s="31">
        <f t="shared" si="128"/>
        <v>323093.84202585544</v>
      </c>
      <c r="AU94" s="33">
        <f t="shared" si="129"/>
        <v>74541677.019386947</v>
      </c>
    </row>
    <row r="95" spans="1:47" ht="15" customHeight="1" x14ac:dyDescent="0.2">
      <c r="A95" s="41" t="s">
        <v>89</v>
      </c>
      <c r="B95" s="35">
        <v>19</v>
      </c>
      <c r="C95" s="35">
        <v>1</v>
      </c>
      <c r="D95" s="30">
        <v>1787196</v>
      </c>
      <c r="E95" s="30">
        <f t="shared" si="117"/>
        <v>21446352</v>
      </c>
      <c r="F95" s="30">
        <v>0</v>
      </c>
      <c r="G95" s="30">
        <v>0</v>
      </c>
      <c r="H95" s="30">
        <f t="shared" si="101"/>
        <v>793176</v>
      </c>
      <c r="I95" s="30">
        <f t="shared" si="102"/>
        <v>0</v>
      </c>
      <c r="J95" s="30">
        <f t="shared" si="112"/>
        <v>928818.93958333333</v>
      </c>
      <c r="K95" s="30">
        <f t="shared" si="89"/>
        <v>625518.6</v>
      </c>
      <c r="L95" s="30">
        <f t="shared" si="118"/>
        <v>4467990</v>
      </c>
      <c r="M95" s="30">
        <f t="shared" ref="M95:M107" si="132">+(E95/12)+J95/12+K95/12+N95/12</f>
        <v>2001984.6389901622</v>
      </c>
      <c r="N95" s="30">
        <f t="shared" si="119"/>
        <v>1023126.1282986111</v>
      </c>
      <c r="O95" s="30"/>
      <c r="P95" s="30">
        <f t="shared" si="103"/>
        <v>31286966.306872111</v>
      </c>
      <c r="Q95" s="30"/>
      <c r="R95" s="30"/>
      <c r="S95" s="30"/>
      <c r="T95" s="30"/>
      <c r="U95" s="30">
        <f t="shared" si="120"/>
        <v>0</v>
      </c>
      <c r="V95" s="30">
        <f t="shared" si="121"/>
        <v>31286966.306872111</v>
      </c>
      <c r="W95" s="30">
        <f t="shared" si="122"/>
        <v>1370183.5999999999</v>
      </c>
      <c r="X95" s="30">
        <v>0</v>
      </c>
      <c r="Y95" s="30">
        <f t="shared" si="131"/>
        <v>119146.4</v>
      </c>
      <c r="Z95" s="30">
        <f t="shared" si="130"/>
        <v>1489329.9999999998</v>
      </c>
      <c r="AA95" s="30"/>
      <c r="AB95" s="30"/>
      <c r="AC95" s="30"/>
      <c r="AD95" s="30"/>
      <c r="AE95" s="30">
        <f t="shared" si="124"/>
        <v>0</v>
      </c>
      <c r="AF95" s="30">
        <f t="shared" si="125"/>
        <v>1489329.9999999998</v>
      </c>
      <c r="AG95" s="30">
        <f t="shared" si="113"/>
        <v>2668743.36</v>
      </c>
      <c r="AH95" s="30">
        <f t="shared" si="114"/>
        <v>1894790.6367500003</v>
      </c>
      <c r="AI95" s="30">
        <f t="shared" si="126"/>
        <v>1787196</v>
      </c>
      <c r="AJ95" s="31">
        <f t="shared" si="104"/>
        <v>991954.83534157043</v>
      </c>
      <c r="AK95" s="31">
        <f t="shared" si="105"/>
        <v>143706.21712852572</v>
      </c>
      <c r="AL95" s="30">
        <f t="shared" si="106"/>
        <v>751366.51602506905</v>
      </c>
      <c r="AM95" s="31">
        <f t="shared" si="107"/>
        <v>140194.10081318833</v>
      </c>
      <c r="AN95" s="31">
        <f t="shared" si="108"/>
        <v>140194.10081318833</v>
      </c>
      <c r="AO95" s="30">
        <f t="shared" si="109"/>
        <v>258033.73512665238</v>
      </c>
      <c r="AP95" s="30">
        <v>0</v>
      </c>
      <c r="AQ95" s="32">
        <f t="shared" si="127"/>
        <v>8776179.5019981936</v>
      </c>
      <c r="AR95" s="31">
        <f t="shared" si="110"/>
        <v>93208.706423720927</v>
      </c>
      <c r="AS95" s="31">
        <f t="shared" si="111"/>
        <v>87912.79888203583</v>
      </c>
      <c r="AT95" s="31">
        <f t="shared" si="128"/>
        <v>181121.50530575676</v>
      </c>
      <c r="AU95" s="33">
        <f t="shared" si="129"/>
        <v>41552475.808870301</v>
      </c>
    </row>
    <row r="96" spans="1:47" ht="15" customHeight="1" x14ac:dyDescent="0.2">
      <c r="A96" s="41" t="s">
        <v>90</v>
      </c>
      <c r="B96" s="78" t="s">
        <v>110</v>
      </c>
      <c r="C96" s="35">
        <v>9</v>
      </c>
      <c r="D96" s="30">
        <v>1020643</v>
      </c>
      <c r="E96" s="30">
        <f t="shared" si="117"/>
        <v>110229444</v>
      </c>
      <c r="F96" s="30">
        <v>0</v>
      </c>
      <c r="G96" s="30">
        <v>0</v>
      </c>
      <c r="H96" s="30">
        <f t="shared" si="101"/>
        <v>793176</v>
      </c>
      <c r="I96" s="30">
        <f t="shared" si="102"/>
        <v>1234248</v>
      </c>
      <c r="J96" s="30">
        <f t="shared" si="112"/>
        <v>4693317.046875</v>
      </c>
      <c r="K96" s="30">
        <f t="shared" si="89"/>
        <v>4592893.5</v>
      </c>
      <c r="L96" s="30">
        <f t="shared" si="118"/>
        <v>22964467.5</v>
      </c>
      <c r="M96" s="30">
        <f t="shared" si="132"/>
        <v>10066652.243815104</v>
      </c>
      <c r="N96" s="30">
        <f t="shared" si="119"/>
        <v>1284172.37890625</v>
      </c>
      <c r="O96" s="30"/>
      <c r="P96" s="30">
        <f t="shared" si="103"/>
        <v>155858370.66959634</v>
      </c>
      <c r="Q96" s="30"/>
      <c r="R96" s="30"/>
      <c r="S96" s="30"/>
      <c r="T96" s="30"/>
      <c r="U96" s="30">
        <f t="shared" si="120"/>
        <v>0</v>
      </c>
      <c r="V96" s="30">
        <f t="shared" si="121"/>
        <v>155858370.66959634</v>
      </c>
      <c r="W96" s="30">
        <f t="shared" si="122"/>
        <v>7042436.7000000002</v>
      </c>
      <c r="X96" s="30">
        <v>0</v>
      </c>
      <c r="Y96" s="30">
        <f t="shared" si="131"/>
        <v>612385.80000000005</v>
      </c>
      <c r="Z96" s="30">
        <f t="shared" si="130"/>
        <v>7654822.5</v>
      </c>
      <c r="AA96" s="30"/>
      <c r="AB96" s="30"/>
      <c r="AC96" s="30"/>
      <c r="AD96" s="30"/>
      <c r="AE96" s="30">
        <f t="shared" si="124"/>
        <v>0</v>
      </c>
      <c r="AF96" s="30">
        <f t="shared" si="125"/>
        <v>7654822.5</v>
      </c>
      <c r="AG96" s="30">
        <f t="shared" si="113"/>
        <v>14084163.359999999</v>
      </c>
      <c r="AH96" s="30">
        <f t="shared" si="114"/>
        <v>9574366.7756249998</v>
      </c>
      <c r="AI96" s="30">
        <f t="shared" si="126"/>
        <v>9185787</v>
      </c>
      <c r="AJ96" s="31">
        <f t="shared" si="104"/>
        <v>5098425.5957755838</v>
      </c>
      <c r="AK96" s="31">
        <f t="shared" si="105"/>
        <v>738617.75715612015</v>
      </c>
      <c r="AL96" s="30">
        <f t="shared" si="106"/>
        <v>3861855.5408239337</v>
      </c>
      <c r="AM96" s="31">
        <f t="shared" si="107"/>
        <v>720566.26622176566</v>
      </c>
      <c r="AN96" s="31">
        <f t="shared" si="108"/>
        <v>720566.26622176566</v>
      </c>
      <c r="AO96" s="30">
        <f t="shared" si="109"/>
        <v>1326235.5833875225</v>
      </c>
      <c r="AP96" s="30">
        <v>0</v>
      </c>
      <c r="AQ96" s="32">
        <f t="shared" si="127"/>
        <v>45310584.145211697</v>
      </c>
      <c r="AR96" s="31">
        <f t="shared" si="110"/>
        <v>479071.8666300911</v>
      </c>
      <c r="AS96" s="31">
        <f t="shared" si="111"/>
        <v>451852.08846943441</v>
      </c>
      <c r="AT96" s="31">
        <f t="shared" si="128"/>
        <v>930923.95509952551</v>
      </c>
      <c r="AU96" s="33">
        <f t="shared" si="129"/>
        <v>208823777.31480804</v>
      </c>
    </row>
    <row r="97" spans="1:47" ht="15" customHeight="1" x14ac:dyDescent="0.2">
      <c r="A97" s="41" t="s">
        <v>90</v>
      </c>
      <c r="B97" s="78" t="s">
        <v>112</v>
      </c>
      <c r="C97" s="35">
        <v>13</v>
      </c>
      <c r="D97" s="30">
        <v>1150436</v>
      </c>
      <c r="E97" s="30">
        <f t="shared" si="117"/>
        <v>179468016</v>
      </c>
      <c r="F97" s="30">
        <v>0</v>
      </c>
      <c r="G97" s="30">
        <v>0</v>
      </c>
      <c r="H97" s="30">
        <f t="shared" si="101"/>
        <v>793176</v>
      </c>
      <c r="I97" s="30">
        <f t="shared" si="102"/>
        <v>1234248</v>
      </c>
      <c r="J97" s="30">
        <f t="shared" si="112"/>
        <v>7588274.701388889</v>
      </c>
      <c r="K97" s="30">
        <f t="shared" si="89"/>
        <v>7477834</v>
      </c>
      <c r="L97" s="30">
        <f t="shared" si="118"/>
        <v>37389170</v>
      </c>
      <c r="M97" s="30">
        <f t="shared" si="132"/>
        <v>16363737.646653164</v>
      </c>
      <c r="N97" s="30">
        <f t="shared" si="119"/>
        <v>1830727.0584490742</v>
      </c>
      <c r="O97" s="30"/>
      <c r="P97" s="30">
        <f t="shared" si="103"/>
        <v>252145183.40649113</v>
      </c>
      <c r="Q97" s="30"/>
      <c r="R97" s="30"/>
      <c r="S97" s="30"/>
      <c r="T97" s="30"/>
      <c r="U97" s="30">
        <f t="shared" si="120"/>
        <v>0</v>
      </c>
      <c r="V97" s="30">
        <f t="shared" si="121"/>
        <v>252145183.40649113</v>
      </c>
      <c r="W97" s="30">
        <f t="shared" si="122"/>
        <v>11466012.133333333</v>
      </c>
      <c r="X97" s="30">
        <v>0</v>
      </c>
      <c r="Y97" s="30">
        <f t="shared" si="131"/>
        <v>997044.53333333344</v>
      </c>
      <c r="Z97" s="30">
        <f t="shared" si="130"/>
        <v>12463056.666666666</v>
      </c>
      <c r="AA97" s="30"/>
      <c r="AB97" s="30"/>
      <c r="AC97" s="30"/>
      <c r="AD97" s="30"/>
      <c r="AE97" s="30">
        <f t="shared" si="124"/>
        <v>0</v>
      </c>
      <c r="AF97" s="30">
        <f t="shared" si="125"/>
        <v>12463056.666666666</v>
      </c>
      <c r="AG97" s="30">
        <f t="shared" si="113"/>
        <v>22773516.48</v>
      </c>
      <c r="AH97" s="30">
        <f t="shared" si="114"/>
        <v>15480080.390833335</v>
      </c>
      <c r="AI97" s="30">
        <f t="shared" si="126"/>
        <v>14955668</v>
      </c>
      <c r="AJ97" s="31">
        <f t="shared" si="104"/>
        <v>8300906.6651688991</v>
      </c>
      <c r="AK97" s="31">
        <f t="shared" si="105"/>
        <v>1202566.7430489687</v>
      </c>
      <c r="AL97" s="30">
        <f t="shared" si="106"/>
        <v>6287608.1638430329</v>
      </c>
      <c r="AM97" s="31">
        <f t="shared" si="107"/>
        <v>1173176.5443300987</v>
      </c>
      <c r="AN97" s="31">
        <f t="shared" si="108"/>
        <v>1173176.5443300987</v>
      </c>
      <c r="AO97" s="30">
        <f t="shared" si="109"/>
        <v>2159285.7612450738</v>
      </c>
      <c r="AP97" s="30">
        <v>0</v>
      </c>
      <c r="AQ97" s="32">
        <f t="shared" si="127"/>
        <v>73505985.292799518</v>
      </c>
      <c r="AR97" s="31">
        <f t="shared" si="110"/>
        <v>779991.93596149364</v>
      </c>
      <c r="AS97" s="31">
        <f t="shared" si="111"/>
        <v>735674.56117320049</v>
      </c>
      <c r="AT97" s="31">
        <f t="shared" si="128"/>
        <v>1515666.4971346941</v>
      </c>
      <c r="AU97" s="33">
        <f t="shared" si="129"/>
        <v>338114225.36595732</v>
      </c>
    </row>
    <row r="98" spans="1:47" ht="15" customHeight="1" x14ac:dyDescent="0.2">
      <c r="A98" s="41" t="s">
        <v>90</v>
      </c>
      <c r="B98" s="35">
        <v>11</v>
      </c>
      <c r="C98" s="35">
        <v>8</v>
      </c>
      <c r="D98" s="30">
        <v>1364839</v>
      </c>
      <c r="E98" s="30">
        <f t="shared" si="117"/>
        <v>131024544</v>
      </c>
      <c r="F98" s="30">
        <v>0</v>
      </c>
      <c r="G98" s="30">
        <v>0</v>
      </c>
      <c r="H98" s="30">
        <f t="shared" si="101"/>
        <v>793176</v>
      </c>
      <c r="I98" s="30">
        <f t="shared" si="102"/>
        <v>1234248</v>
      </c>
      <c r="J98" s="30">
        <f t="shared" si="112"/>
        <v>5562788.097222222</v>
      </c>
      <c r="K98" s="30">
        <f t="shared" si="89"/>
        <v>5459356</v>
      </c>
      <c r="L98" s="30">
        <f t="shared" si="118"/>
        <v>27296780</v>
      </c>
      <c r="M98" s="30">
        <f t="shared" si="132"/>
        <v>11970634.96711034</v>
      </c>
      <c r="N98" s="30">
        <f t="shared" si="119"/>
        <v>1600931.5081018517</v>
      </c>
      <c r="O98" s="30"/>
      <c r="P98" s="30">
        <f t="shared" si="103"/>
        <v>184942458.5724344</v>
      </c>
      <c r="Q98" s="30"/>
      <c r="R98" s="30"/>
      <c r="S98" s="30"/>
      <c r="T98" s="30"/>
      <c r="U98" s="30">
        <f t="shared" si="120"/>
        <v>0</v>
      </c>
      <c r="V98" s="30">
        <f t="shared" si="121"/>
        <v>184942458.5724344</v>
      </c>
      <c r="W98" s="30">
        <f t="shared" si="122"/>
        <v>8371012.5333333332</v>
      </c>
      <c r="X98" s="30">
        <v>0</v>
      </c>
      <c r="Y98" s="30">
        <f t="shared" si="131"/>
        <v>727914.1333333333</v>
      </c>
      <c r="Z98" s="30">
        <f t="shared" si="130"/>
        <v>9098926.666666666</v>
      </c>
      <c r="AA98" s="30"/>
      <c r="AB98" s="30"/>
      <c r="AC98" s="30"/>
      <c r="AD98" s="30"/>
      <c r="AE98" s="30">
        <f t="shared" si="124"/>
        <v>0</v>
      </c>
      <c r="AF98" s="30">
        <f t="shared" si="125"/>
        <v>9098926.666666666</v>
      </c>
      <c r="AG98" s="30">
        <f t="shared" si="113"/>
        <v>16484394.24</v>
      </c>
      <c r="AH98" s="30">
        <f t="shared" si="114"/>
        <v>11348087.718333334</v>
      </c>
      <c r="AI98" s="30">
        <f t="shared" si="126"/>
        <v>10918712</v>
      </c>
      <c r="AJ98" s="31">
        <f t="shared" si="104"/>
        <v>6060258.1720762746</v>
      </c>
      <c r="AK98" s="31">
        <f t="shared" si="105"/>
        <v>877960.11038287892</v>
      </c>
      <c r="AL98" s="30">
        <f t="shared" si="106"/>
        <v>4590405.6381734936</v>
      </c>
      <c r="AM98" s="31">
        <f t="shared" si="107"/>
        <v>856503.15403468302</v>
      </c>
      <c r="AN98" s="31">
        <f t="shared" si="108"/>
        <v>856503.15403468302</v>
      </c>
      <c r="AO98" s="30">
        <f t="shared" si="109"/>
        <v>1576433.7208298366</v>
      </c>
      <c r="AP98" s="30">
        <v>0</v>
      </c>
      <c r="AQ98" s="32">
        <f t="shared" si="127"/>
        <v>53569257.907865182</v>
      </c>
      <c r="AR98" s="31">
        <f t="shared" si="110"/>
        <v>569450.14499425853</v>
      </c>
      <c r="AS98" s="31">
        <f t="shared" si="111"/>
        <v>537095.27780213882</v>
      </c>
      <c r="AT98" s="31">
        <f t="shared" si="128"/>
        <v>1106545.4227963975</v>
      </c>
      <c r="AU98" s="33">
        <f t="shared" si="129"/>
        <v>247610643.14696622</v>
      </c>
    </row>
    <row r="99" spans="1:47" ht="15" customHeight="1" x14ac:dyDescent="0.2">
      <c r="A99" s="41" t="s">
        <v>91</v>
      </c>
      <c r="B99" s="35">
        <v>11</v>
      </c>
      <c r="C99" s="35">
        <v>4</v>
      </c>
      <c r="D99" s="30">
        <v>1364839</v>
      </c>
      <c r="E99" s="30">
        <f t="shared" si="117"/>
        <v>65512272</v>
      </c>
      <c r="F99" s="30">
        <v>0</v>
      </c>
      <c r="G99" s="30">
        <v>0</v>
      </c>
      <c r="H99" s="30">
        <f t="shared" si="101"/>
        <v>793176</v>
      </c>
      <c r="I99" s="30">
        <f t="shared" si="102"/>
        <v>1234248</v>
      </c>
      <c r="J99" s="30">
        <f t="shared" si="112"/>
        <v>2823632.0486111115</v>
      </c>
      <c r="K99" s="30">
        <f t="shared" si="89"/>
        <v>2729678</v>
      </c>
      <c r="L99" s="30">
        <f t="shared" si="118"/>
        <v>13648390</v>
      </c>
      <c r="M99" s="30">
        <f t="shared" si="132"/>
        <v>6017564.7821662808</v>
      </c>
      <c r="N99" s="30">
        <f t="shared" si="119"/>
        <v>1145195.3373842593</v>
      </c>
      <c r="O99" s="30"/>
      <c r="P99" s="30">
        <f t="shared" si="103"/>
        <v>93904156.168161646</v>
      </c>
      <c r="Q99" s="30"/>
      <c r="R99" s="30"/>
      <c r="S99" s="30"/>
      <c r="T99" s="30"/>
      <c r="U99" s="30">
        <f t="shared" si="120"/>
        <v>0</v>
      </c>
      <c r="V99" s="30">
        <f t="shared" si="121"/>
        <v>93904156.168161646</v>
      </c>
      <c r="W99" s="30">
        <f t="shared" si="122"/>
        <v>4185506.2666666666</v>
      </c>
      <c r="X99" s="30">
        <v>0</v>
      </c>
      <c r="Y99" s="30">
        <f t="shared" si="131"/>
        <v>363957.06666666665</v>
      </c>
      <c r="Z99" s="30">
        <f t="shared" si="130"/>
        <v>4549463.333333333</v>
      </c>
      <c r="AA99" s="30"/>
      <c r="AB99" s="30"/>
      <c r="AC99" s="30"/>
      <c r="AD99" s="30"/>
      <c r="AE99" s="30">
        <f t="shared" si="124"/>
        <v>0</v>
      </c>
      <c r="AF99" s="30">
        <f t="shared" si="125"/>
        <v>4549463.333333333</v>
      </c>
      <c r="AG99" s="30">
        <f t="shared" si="113"/>
        <v>8242197.1200000001</v>
      </c>
      <c r="AH99" s="30">
        <f t="shared" si="114"/>
        <v>5760209.3791666673</v>
      </c>
      <c r="AI99" s="30">
        <f t="shared" si="126"/>
        <v>5459356</v>
      </c>
      <c r="AJ99" s="31">
        <f t="shared" si="104"/>
        <v>3030129.0860381373</v>
      </c>
      <c r="AK99" s="31">
        <f t="shared" si="105"/>
        <v>438980.05519143946</v>
      </c>
      <c r="AL99" s="30">
        <f t="shared" si="106"/>
        <v>2295202.8190867468</v>
      </c>
      <c r="AM99" s="31">
        <f t="shared" si="107"/>
        <v>428251.57701734151</v>
      </c>
      <c r="AN99" s="31">
        <f t="shared" si="108"/>
        <v>428251.57701734151</v>
      </c>
      <c r="AO99" s="30">
        <f t="shared" si="109"/>
        <v>788216.86041491828</v>
      </c>
      <c r="AP99" s="30">
        <v>0</v>
      </c>
      <c r="AQ99" s="32">
        <f t="shared" si="127"/>
        <v>26870794.47393259</v>
      </c>
      <c r="AR99" s="31">
        <f t="shared" si="110"/>
        <v>284725.07249712927</v>
      </c>
      <c r="AS99" s="31">
        <f t="shared" si="111"/>
        <v>268547.63890106941</v>
      </c>
      <c r="AT99" s="31">
        <f t="shared" si="128"/>
        <v>553272.71139819873</v>
      </c>
      <c r="AU99" s="33">
        <f t="shared" si="129"/>
        <v>125324413.97542757</v>
      </c>
    </row>
    <row r="100" spans="1:47" ht="15" customHeight="1" x14ac:dyDescent="0.2">
      <c r="A100" s="41" t="s">
        <v>91</v>
      </c>
      <c r="B100" s="35">
        <v>13</v>
      </c>
      <c r="C100" s="35">
        <v>5</v>
      </c>
      <c r="D100" s="30">
        <v>1512852</v>
      </c>
      <c r="E100" s="30">
        <f t="shared" si="117"/>
        <v>90771120</v>
      </c>
      <c r="F100" s="30">
        <v>0</v>
      </c>
      <c r="G100" s="30">
        <v>0</v>
      </c>
      <c r="H100" s="30">
        <f t="shared" si="101"/>
        <v>793176</v>
      </c>
      <c r="I100" s="30">
        <f t="shared" si="102"/>
        <v>1234248</v>
      </c>
      <c r="J100" s="30">
        <f t="shared" si="112"/>
        <v>3879738.3958333335</v>
      </c>
      <c r="K100" s="30">
        <f t="shared" si="89"/>
        <v>3782130</v>
      </c>
      <c r="L100" s="30">
        <f t="shared" si="118"/>
        <v>18910650</v>
      </c>
      <c r="M100" s="30">
        <f t="shared" si="132"/>
        <v>8318991.9524016203</v>
      </c>
      <c r="N100" s="30">
        <f t="shared" si="119"/>
        <v>1394915.032986111</v>
      </c>
      <c r="O100" s="30"/>
      <c r="P100" s="30">
        <f t="shared" si="103"/>
        <v>129084969.38122106</v>
      </c>
      <c r="Q100" s="30"/>
      <c r="R100" s="30"/>
      <c r="S100" s="30"/>
      <c r="T100" s="30"/>
      <c r="U100" s="30">
        <f t="shared" si="120"/>
        <v>0</v>
      </c>
      <c r="V100" s="30">
        <f t="shared" si="121"/>
        <v>129084969.38122106</v>
      </c>
      <c r="W100" s="30">
        <f t="shared" si="122"/>
        <v>5799266</v>
      </c>
      <c r="X100" s="30">
        <v>0</v>
      </c>
      <c r="Y100" s="30">
        <f t="shared" si="131"/>
        <v>504284</v>
      </c>
      <c r="Z100" s="30">
        <f t="shared" si="130"/>
        <v>6303550</v>
      </c>
      <c r="AA100" s="30"/>
      <c r="AB100" s="30"/>
      <c r="AC100" s="30"/>
      <c r="AD100" s="30"/>
      <c r="AE100" s="30">
        <f t="shared" si="124"/>
        <v>0</v>
      </c>
      <c r="AF100" s="30">
        <f t="shared" si="125"/>
        <v>6303550</v>
      </c>
      <c r="AG100" s="30">
        <f t="shared" si="113"/>
        <v>11368440</v>
      </c>
      <c r="AH100" s="30">
        <f t="shared" si="114"/>
        <v>7914666.3275000006</v>
      </c>
      <c r="AI100" s="30">
        <f t="shared" si="126"/>
        <v>7564260</v>
      </c>
      <c r="AJ100" s="31">
        <f t="shared" si="104"/>
        <v>4198422.7151251622</v>
      </c>
      <c r="AK100" s="31">
        <f t="shared" si="105"/>
        <v>608232.77915607579</v>
      </c>
      <c r="AL100" s="30">
        <f t="shared" si="106"/>
        <v>3180138.990075957</v>
      </c>
      <c r="AM100" s="31">
        <f t="shared" si="107"/>
        <v>593367.83935123403</v>
      </c>
      <c r="AN100" s="31">
        <f t="shared" si="108"/>
        <v>593367.83935123403</v>
      </c>
      <c r="AO100" s="30">
        <f t="shared" si="109"/>
        <v>1092120.987999711</v>
      </c>
      <c r="AP100" s="30">
        <v>0</v>
      </c>
      <c r="AQ100" s="32">
        <f t="shared" si="127"/>
        <v>37113017.478559375</v>
      </c>
      <c r="AR100" s="31">
        <f t="shared" si="110"/>
        <v>394503.39506841742</v>
      </c>
      <c r="AS100" s="31">
        <f t="shared" si="111"/>
        <v>372088.60587838624</v>
      </c>
      <c r="AT100" s="31">
        <f t="shared" si="128"/>
        <v>766592.00094680372</v>
      </c>
      <c r="AU100" s="33">
        <f t="shared" si="129"/>
        <v>172501536.85978043</v>
      </c>
    </row>
    <row r="101" spans="1:47" ht="15" customHeight="1" x14ac:dyDescent="0.2">
      <c r="A101" s="41" t="s">
        <v>92</v>
      </c>
      <c r="B101" s="35">
        <v>26</v>
      </c>
      <c r="C101" s="35">
        <v>1</v>
      </c>
      <c r="D101" s="30">
        <v>2961084</v>
      </c>
      <c r="E101" s="30">
        <f t="shared" si="117"/>
        <v>35533008</v>
      </c>
      <c r="F101" s="30">
        <v>0</v>
      </c>
      <c r="G101" s="30">
        <v>0</v>
      </c>
      <c r="H101" s="30">
        <f t="shared" si="101"/>
        <v>0</v>
      </c>
      <c r="I101" s="30">
        <f t="shared" si="102"/>
        <v>0</v>
      </c>
      <c r="J101" s="30">
        <f t="shared" si="112"/>
        <v>1484140.5395833335</v>
      </c>
      <c r="K101" s="30">
        <f t="shared" si="89"/>
        <v>1036379.3999999999</v>
      </c>
      <c r="L101" s="30">
        <f t="shared" si="118"/>
        <v>7402710</v>
      </c>
      <c r="M101" s="30">
        <f t="shared" si="132"/>
        <v>3312009.4389901622</v>
      </c>
      <c r="N101" s="30">
        <f t="shared" si="119"/>
        <v>1690585.3282986111</v>
      </c>
      <c r="O101" s="30"/>
      <c r="P101" s="30">
        <f t="shared" si="103"/>
        <v>50458832.706872106</v>
      </c>
      <c r="Q101" s="30"/>
      <c r="R101" s="30"/>
      <c r="S101" s="30"/>
      <c r="T101" s="30"/>
      <c r="U101" s="30">
        <f t="shared" si="120"/>
        <v>0</v>
      </c>
      <c r="V101" s="30">
        <f t="shared" si="121"/>
        <v>50458832.706872106</v>
      </c>
      <c r="W101" s="30">
        <f t="shared" si="122"/>
        <v>2270164.4</v>
      </c>
      <c r="X101" s="30">
        <v>0</v>
      </c>
      <c r="Y101" s="30">
        <f t="shared" si="131"/>
        <v>197405.6</v>
      </c>
      <c r="Z101" s="30">
        <f t="shared" si="130"/>
        <v>2467570</v>
      </c>
      <c r="AA101" s="30"/>
      <c r="AB101" s="30"/>
      <c r="AC101" s="30"/>
      <c r="AD101" s="30"/>
      <c r="AE101" s="30">
        <f t="shared" si="124"/>
        <v>0</v>
      </c>
      <c r="AF101" s="30">
        <f t="shared" si="125"/>
        <v>2467570</v>
      </c>
      <c r="AG101" s="30">
        <f t="shared" si="113"/>
        <v>4263960.959999999</v>
      </c>
      <c r="AH101" s="30">
        <f t="shared" si="114"/>
        <v>3027646.7007500003</v>
      </c>
      <c r="AI101" s="30">
        <f t="shared" si="126"/>
        <v>2961084</v>
      </c>
      <c r="AJ101" s="31">
        <f t="shared" si="104"/>
        <v>1643502.7784599783</v>
      </c>
      <c r="AK101" s="31">
        <f t="shared" si="105"/>
        <v>238097.09748667944</v>
      </c>
      <c r="AL101" s="30">
        <f t="shared" si="106"/>
        <v>1244888.2879872022</v>
      </c>
      <c r="AM101" s="31">
        <f t="shared" si="107"/>
        <v>232278.1098504691</v>
      </c>
      <c r="AN101" s="31">
        <f t="shared" si="108"/>
        <v>232278.1098504691</v>
      </c>
      <c r="AO101" s="30">
        <f t="shared" si="109"/>
        <v>427518.61829579307</v>
      </c>
      <c r="AP101" s="30">
        <v>0</v>
      </c>
      <c r="AQ101" s="32">
        <f t="shared" si="127"/>
        <v>14271254.662680592</v>
      </c>
      <c r="AR101" s="31">
        <f t="shared" si="110"/>
        <v>154431.19235493883</v>
      </c>
      <c r="AS101" s="31">
        <f t="shared" si="111"/>
        <v>145656.76185757699</v>
      </c>
      <c r="AT101" s="31">
        <f t="shared" si="128"/>
        <v>300087.95421251585</v>
      </c>
      <c r="AU101" s="33">
        <f t="shared" si="129"/>
        <v>67197657.369552702</v>
      </c>
    </row>
    <row r="102" spans="1:47" ht="15" customHeight="1" x14ac:dyDescent="0.2">
      <c r="A102" s="41" t="s">
        <v>93</v>
      </c>
      <c r="B102" s="35">
        <v>16</v>
      </c>
      <c r="C102" s="35">
        <v>4</v>
      </c>
      <c r="D102" s="30">
        <v>1664922</v>
      </c>
      <c r="E102" s="30">
        <f t="shared" si="117"/>
        <v>79916256</v>
      </c>
      <c r="F102" s="30">
        <v>0</v>
      </c>
      <c r="G102" s="30">
        <v>0</v>
      </c>
      <c r="H102" s="30">
        <f t="shared" si="101"/>
        <v>793176</v>
      </c>
      <c r="I102" s="30">
        <f t="shared" si="102"/>
        <v>1234248</v>
      </c>
      <c r="J102" s="30">
        <f t="shared" si="112"/>
        <v>3425881.9583333335</v>
      </c>
      <c r="K102" s="30">
        <f t="shared" si="89"/>
        <v>3329844</v>
      </c>
      <c r="L102" s="30">
        <f t="shared" si="118"/>
        <v>16649220</v>
      </c>
      <c r="M102" s="30">
        <f t="shared" si="132"/>
        <v>7338951.6767939813</v>
      </c>
      <c r="N102" s="30">
        <f t="shared" si="119"/>
        <v>1395438.1631944445</v>
      </c>
      <c r="O102" s="30"/>
      <c r="P102" s="30">
        <f t="shared" si="103"/>
        <v>114083015.79832175</v>
      </c>
      <c r="Q102" s="30"/>
      <c r="R102" s="30"/>
      <c r="S102" s="30"/>
      <c r="T102" s="30"/>
      <c r="U102" s="30">
        <f t="shared" si="120"/>
        <v>0</v>
      </c>
      <c r="V102" s="30">
        <f t="shared" si="121"/>
        <v>114083015.79832175</v>
      </c>
      <c r="W102" s="30">
        <f t="shared" si="122"/>
        <v>5105760.8</v>
      </c>
      <c r="X102" s="30">
        <v>0</v>
      </c>
      <c r="Y102" s="30">
        <f t="shared" si="131"/>
        <v>443979.2</v>
      </c>
      <c r="Z102" s="30">
        <f t="shared" si="130"/>
        <v>5549740</v>
      </c>
      <c r="AA102" s="30"/>
      <c r="AB102" s="30"/>
      <c r="AC102" s="30"/>
      <c r="AD102" s="30"/>
      <c r="AE102" s="30">
        <f t="shared" si="124"/>
        <v>0</v>
      </c>
      <c r="AF102" s="30">
        <f t="shared" si="125"/>
        <v>5549740</v>
      </c>
      <c r="AG102" s="30">
        <f t="shared" si="113"/>
        <v>9970675.1999999993</v>
      </c>
      <c r="AH102" s="30">
        <f t="shared" si="114"/>
        <v>6988799.1950000003</v>
      </c>
      <c r="AI102" s="30">
        <f t="shared" si="126"/>
        <v>6659688</v>
      </c>
      <c r="AJ102" s="31">
        <f t="shared" si="104"/>
        <v>3696354.3525535162</v>
      </c>
      <c r="AK102" s="31">
        <f t="shared" si="105"/>
        <v>535497.26484181779</v>
      </c>
      <c r="AL102" s="30">
        <f t="shared" si="106"/>
        <v>2799842.0824430897</v>
      </c>
      <c r="AM102" s="31">
        <f t="shared" si="107"/>
        <v>522409.94880045648</v>
      </c>
      <c r="AN102" s="31">
        <f t="shared" si="108"/>
        <v>522409.94880045648</v>
      </c>
      <c r="AO102" s="30">
        <f t="shared" si="109"/>
        <v>961519.70428433432</v>
      </c>
      <c r="AP102" s="30">
        <v>0</v>
      </c>
      <c r="AQ102" s="32">
        <f t="shared" si="127"/>
        <v>32657195.696723666</v>
      </c>
      <c r="AR102" s="31">
        <f t="shared" si="110"/>
        <v>347326.7082432913</v>
      </c>
      <c r="AS102" s="31">
        <f t="shared" si="111"/>
        <v>327592.39152342966</v>
      </c>
      <c r="AT102" s="31">
        <f t="shared" si="128"/>
        <v>674919.09976672102</v>
      </c>
      <c r="AU102" s="33">
        <f t="shared" si="129"/>
        <v>152289951.49504542</v>
      </c>
    </row>
    <row r="103" spans="1:47" ht="15" customHeight="1" x14ac:dyDescent="0.2">
      <c r="A103" s="41" t="s">
        <v>93</v>
      </c>
      <c r="B103" s="35">
        <v>18</v>
      </c>
      <c r="C103" s="35">
        <v>14</v>
      </c>
      <c r="D103" s="30">
        <v>1742254</v>
      </c>
      <c r="E103" s="30">
        <f t="shared" si="117"/>
        <v>292698672</v>
      </c>
      <c r="F103" s="30">
        <v>0</v>
      </c>
      <c r="G103" s="30">
        <v>0</v>
      </c>
      <c r="H103" s="30">
        <f t="shared" si="101"/>
        <v>793176</v>
      </c>
      <c r="I103" s="30">
        <f t="shared" si="102"/>
        <v>1234248</v>
      </c>
      <c r="J103" s="30">
        <f t="shared" si="112"/>
        <v>12309896.515972221</v>
      </c>
      <c r="K103" s="30">
        <f t="shared" si="89"/>
        <v>8537044.5999999978</v>
      </c>
      <c r="L103" s="30">
        <f t="shared" si="118"/>
        <v>60978890</v>
      </c>
      <c r="M103" s="30">
        <f t="shared" si="132"/>
        <v>26346165.434080824</v>
      </c>
      <c r="N103" s="30">
        <f t="shared" si="119"/>
        <v>2608372.0929976851</v>
      </c>
      <c r="O103" s="30"/>
      <c r="P103" s="30">
        <f t="shared" si="103"/>
        <v>405506464.64305073</v>
      </c>
      <c r="Q103" s="30"/>
      <c r="R103" s="30"/>
      <c r="S103" s="30"/>
      <c r="T103" s="30"/>
      <c r="U103" s="30">
        <f t="shared" si="120"/>
        <v>0</v>
      </c>
      <c r="V103" s="30">
        <f t="shared" si="121"/>
        <v>405506464.64305073</v>
      </c>
      <c r="W103" s="30">
        <f t="shared" si="122"/>
        <v>18700192.933333334</v>
      </c>
      <c r="X103" s="30">
        <v>0</v>
      </c>
      <c r="Y103" s="30">
        <f t="shared" si="131"/>
        <v>1626103.7333333334</v>
      </c>
      <c r="Z103" s="30">
        <f t="shared" si="130"/>
        <v>20326296.666666668</v>
      </c>
      <c r="AA103" s="30"/>
      <c r="AB103" s="30"/>
      <c r="AC103" s="30"/>
      <c r="AD103" s="30"/>
      <c r="AE103" s="30">
        <f t="shared" si="124"/>
        <v>0</v>
      </c>
      <c r="AF103" s="30">
        <f t="shared" si="125"/>
        <v>20326296.666666668</v>
      </c>
      <c r="AG103" s="30">
        <f t="shared" si="113"/>
        <v>36456376.32</v>
      </c>
      <c r="AH103" s="30">
        <f t="shared" si="114"/>
        <v>25112188.892583333</v>
      </c>
      <c r="AI103" s="30">
        <f t="shared" si="126"/>
        <v>24391556</v>
      </c>
      <c r="AJ103" s="31">
        <f t="shared" si="104"/>
        <v>13538146.860056031</v>
      </c>
      <c r="AK103" s="31">
        <f t="shared" si="105"/>
        <v>1961294.8118944955</v>
      </c>
      <c r="AL103" s="30">
        <f t="shared" si="106"/>
        <v>10254610.267788406</v>
      </c>
      <c r="AM103" s="31">
        <f t="shared" si="107"/>
        <v>1913361.6351281721</v>
      </c>
      <c r="AN103" s="31">
        <f t="shared" si="108"/>
        <v>1913361.6351281721</v>
      </c>
      <c r="AO103" s="30">
        <f t="shared" si="109"/>
        <v>3521630.699839809</v>
      </c>
      <c r="AP103" s="30">
        <v>0</v>
      </c>
      <c r="AQ103" s="32">
        <f t="shared" si="127"/>
        <v>119062527.12241842</v>
      </c>
      <c r="AR103" s="31">
        <f t="shared" si="110"/>
        <v>1272107.470261655</v>
      </c>
      <c r="AS103" s="31">
        <f t="shared" si="111"/>
        <v>1199829.2056651395</v>
      </c>
      <c r="AT103" s="31">
        <f t="shared" si="128"/>
        <v>2471936.6759267943</v>
      </c>
      <c r="AU103" s="33">
        <f t="shared" si="129"/>
        <v>544895288.43213582</v>
      </c>
    </row>
    <row r="104" spans="1:47" ht="15" customHeight="1" x14ac:dyDescent="0.2">
      <c r="A104" s="41" t="s">
        <v>93</v>
      </c>
      <c r="B104" s="35">
        <v>19</v>
      </c>
      <c r="C104" s="35">
        <v>1</v>
      </c>
      <c r="D104" s="30">
        <v>1787196</v>
      </c>
      <c r="E104" s="30">
        <f t="shared" si="117"/>
        <v>21446352</v>
      </c>
      <c r="F104" s="30">
        <v>0</v>
      </c>
      <c r="G104" s="30">
        <v>0</v>
      </c>
      <c r="H104" s="30">
        <f t="shared" si="101"/>
        <v>793176</v>
      </c>
      <c r="I104" s="30">
        <f t="shared" si="102"/>
        <v>0</v>
      </c>
      <c r="J104" s="30">
        <f t="shared" si="112"/>
        <v>928818.93958333333</v>
      </c>
      <c r="K104" s="30">
        <f t="shared" si="89"/>
        <v>625518.6</v>
      </c>
      <c r="L104" s="30">
        <f t="shared" si="118"/>
        <v>4467990</v>
      </c>
      <c r="M104" s="30">
        <f t="shared" si="132"/>
        <v>2001984.6389901622</v>
      </c>
      <c r="N104" s="30">
        <f t="shared" si="119"/>
        <v>1023126.1282986111</v>
      </c>
      <c r="O104" s="30"/>
      <c r="P104" s="30">
        <f t="shared" si="103"/>
        <v>31286966.306872111</v>
      </c>
      <c r="Q104" s="30"/>
      <c r="R104" s="30"/>
      <c r="S104" s="30"/>
      <c r="T104" s="30"/>
      <c r="U104" s="30">
        <f t="shared" si="120"/>
        <v>0</v>
      </c>
      <c r="V104" s="30">
        <f t="shared" si="121"/>
        <v>31286966.306872111</v>
      </c>
      <c r="W104" s="30">
        <f t="shared" si="122"/>
        <v>1370183.5999999999</v>
      </c>
      <c r="X104" s="30">
        <v>0</v>
      </c>
      <c r="Y104" s="30">
        <f t="shared" si="131"/>
        <v>119146.4</v>
      </c>
      <c r="Z104" s="30">
        <f t="shared" si="130"/>
        <v>1489329.9999999998</v>
      </c>
      <c r="AA104" s="30"/>
      <c r="AB104" s="30"/>
      <c r="AC104" s="30"/>
      <c r="AD104" s="30"/>
      <c r="AE104" s="30">
        <f t="shared" si="124"/>
        <v>0</v>
      </c>
      <c r="AF104" s="30">
        <f t="shared" si="125"/>
        <v>1489329.9999999998</v>
      </c>
      <c r="AG104" s="30">
        <f t="shared" si="113"/>
        <v>2668743.36</v>
      </c>
      <c r="AH104" s="30">
        <f t="shared" si="114"/>
        <v>1894790.6367500003</v>
      </c>
      <c r="AI104" s="30">
        <f t="shared" si="126"/>
        <v>1787196</v>
      </c>
      <c r="AJ104" s="31">
        <f t="shared" si="104"/>
        <v>991954.83534157043</v>
      </c>
      <c r="AK104" s="31">
        <f t="shared" si="105"/>
        <v>143706.21712852572</v>
      </c>
      <c r="AL104" s="30">
        <f t="shared" si="106"/>
        <v>751366.51602506905</v>
      </c>
      <c r="AM104" s="31">
        <f t="shared" si="107"/>
        <v>140194.10081318833</v>
      </c>
      <c r="AN104" s="31">
        <f t="shared" si="108"/>
        <v>140194.10081318833</v>
      </c>
      <c r="AO104" s="30">
        <f t="shared" si="109"/>
        <v>258033.73512665238</v>
      </c>
      <c r="AP104" s="30">
        <v>0</v>
      </c>
      <c r="AQ104" s="32">
        <f t="shared" si="127"/>
        <v>8776179.5019981936</v>
      </c>
      <c r="AR104" s="31">
        <f t="shared" si="110"/>
        <v>93208.706423720927</v>
      </c>
      <c r="AS104" s="31">
        <f t="shared" si="111"/>
        <v>87912.79888203583</v>
      </c>
      <c r="AT104" s="31">
        <f t="shared" si="128"/>
        <v>181121.50530575676</v>
      </c>
      <c r="AU104" s="33">
        <f t="shared" si="129"/>
        <v>41552475.808870301</v>
      </c>
    </row>
    <row r="105" spans="1:47" ht="15" customHeight="1" x14ac:dyDescent="0.2">
      <c r="A105" s="41" t="s">
        <v>93</v>
      </c>
      <c r="B105" s="35">
        <v>20</v>
      </c>
      <c r="C105" s="35">
        <v>15</v>
      </c>
      <c r="D105" s="30">
        <v>1842722</v>
      </c>
      <c r="E105" s="30">
        <f t="shared" si="117"/>
        <v>331689960</v>
      </c>
      <c r="F105" s="30">
        <v>0</v>
      </c>
      <c r="G105" s="30">
        <v>0</v>
      </c>
      <c r="H105" s="30">
        <f t="shared" si="101"/>
        <v>793176</v>
      </c>
      <c r="I105" s="30">
        <f t="shared" si="102"/>
        <v>0</v>
      </c>
      <c r="J105" s="30">
        <f t="shared" si="112"/>
        <v>13887055.286458334</v>
      </c>
      <c r="K105" s="30">
        <f t="shared" si="89"/>
        <v>9674290.5</v>
      </c>
      <c r="L105" s="30">
        <f t="shared" si="118"/>
        <v>69102075</v>
      </c>
      <c r="M105" s="30">
        <f t="shared" si="132"/>
        <v>29844676.0223886</v>
      </c>
      <c r="N105" s="30">
        <f t="shared" si="119"/>
        <v>2884806.482204861</v>
      </c>
      <c r="O105" s="30"/>
      <c r="P105" s="30">
        <f t="shared" si="103"/>
        <v>457876039.29105175</v>
      </c>
      <c r="Q105" s="30"/>
      <c r="R105" s="30"/>
      <c r="S105" s="30"/>
      <c r="T105" s="30"/>
      <c r="U105" s="30">
        <f t="shared" si="120"/>
        <v>0</v>
      </c>
      <c r="V105" s="30">
        <f t="shared" si="121"/>
        <v>457876039.29105175</v>
      </c>
      <c r="W105" s="30">
        <f t="shared" si="122"/>
        <v>21191303</v>
      </c>
      <c r="X105" s="30">
        <v>0</v>
      </c>
      <c r="Y105" s="30">
        <f t="shared" si="131"/>
        <v>1842722</v>
      </c>
      <c r="Z105" s="30">
        <f t="shared" si="130"/>
        <v>23034025</v>
      </c>
      <c r="AA105" s="30"/>
      <c r="AB105" s="30"/>
      <c r="AC105" s="30"/>
      <c r="AD105" s="30"/>
      <c r="AE105" s="30">
        <f t="shared" si="124"/>
        <v>0</v>
      </c>
      <c r="AF105" s="30">
        <f t="shared" si="125"/>
        <v>23034025</v>
      </c>
      <c r="AG105" s="30">
        <f t="shared" si="113"/>
        <v>41230512</v>
      </c>
      <c r="AH105" s="30">
        <f t="shared" si="114"/>
        <v>28329592.784375001</v>
      </c>
      <c r="AI105" s="30">
        <f t="shared" si="126"/>
        <v>27640830</v>
      </c>
      <c r="AJ105" s="31">
        <f t="shared" si="104"/>
        <v>15341604.933848523</v>
      </c>
      <c r="AK105" s="31">
        <f t="shared" si="105"/>
        <v>2222564.9103918476</v>
      </c>
      <c r="AL105" s="30">
        <f t="shared" si="106"/>
        <v>11620658.359318849</v>
      </c>
      <c r="AM105" s="31">
        <f t="shared" si="107"/>
        <v>2168246.4081053231</v>
      </c>
      <c r="AN105" s="31">
        <f t="shared" si="108"/>
        <v>2168246.4081053231</v>
      </c>
      <c r="AO105" s="30">
        <f t="shared" si="109"/>
        <v>3990757.9285656558</v>
      </c>
      <c r="AP105" s="30">
        <v>0</v>
      </c>
      <c r="AQ105" s="32">
        <f t="shared" si="127"/>
        <v>134713013.73271054</v>
      </c>
      <c r="AR105" s="31">
        <f t="shared" si="110"/>
        <v>1441568.8087808939</v>
      </c>
      <c r="AS105" s="31">
        <f t="shared" si="111"/>
        <v>1359662.134831626</v>
      </c>
      <c r="AT105" s="31">
        <f t="shared" si="128"/>
        <v>2801230.9436125197</v>
      </c>
      <c r="AU105" s="33">
        <f t="shared" si="129"/>
        <v>615623078.02376223</v>
      </c>
    </row>
    <row r="106" spans="1:47" ht="15" customHeight="1" x14ac:dyDescent="0.2">
      <c r="A106" s="41" t="s">
        <v>93</v>
      </c>
      <c r="B106" s="35">
        <v>24</v>
      </c>
      <c r="C106" s="35">
        <v>1</v>
      </c>
      <c r="D106" s="30">
        <v>2454170</v>
      </c>
      <c r="E106" s="30">
        <f t="shared" si="117"/>
        <v>29450040</v>
      </c>
      <c r="F106" s="30">
        <v>0</v>
      </c>
      <c r="G106" s="30">
        <v>0</v>
      </c>
      <c r="H106" s="30">
        <f t="shared" si="101"/>
        <v>0</v>
      </c>
      <c r="I106" s="30">
        <f t="shared" si="102"/>
        <v>0</v>
      </c>
      <c r="J106" s="30">
        <f t="shared" si="112"/>
        <v>1230067.4982638888</v>
      </c>
      <c r="K106" s="30">
        <f t="shared" si="89"/>
        <v>858959.5</v>
      </c>
      <c r="L106" s="30">
        <f t="shared" si="118"/>
        <v>6135425</v>
      </c>
      <c r="M106" s="30">
        <f t="shared" si="132"/>
        <v>2745019.7984543792</v>
      </c>
      <c r="N106" s="30">
        <f t="shared" si="119"/>
        <v>1401170.5831886574</v>
      </c>
      <c r="O106" s="30"/>
      <c r="P106" s="30">
        <f t="shared" si="103"/>
        <v>41820682.37990693</v>
      </c>
      <c r="Q106" s="30"/>
      <c r="R106" s="30"/>
      <c r="S106" s="30"/>
      <c r="T106" s="30"/>
      <c r="U106" s="30">
        <f t="shared" si="120"/>
        <v>0</v>
      </c>
      <c r="V106" s="30">
        <f t="shared" si="121"/>
        <v>41820682.37990693</v>
      </c>
      <c r="W106" s="30">
        <f t="shared" si="122"/>
        <v>1881530.3333333335</v>
      </c>
      <c r="X106" s="30">
        <v>0</v>
      </c>
      <c r="Y106" s="30">
        <f t="shared" si="131"/>
        <v>163611.33333333334</v>
      </c>
      <c r="Z106" s="30">
        <f t="shared" si="130"/>
        <v>2045141.6666666667</v>
      </c>
      <c r="AA106" s="30"/>
      <c r="AB106" s="30"/>
      <c r="AC106" s="30"/>
      <c r="AD106" s="30"/>
      <c r="AE106" s="30">
        <f t="shared" si="124"/>
        <v>0</v>
      </c>
      <c r="AF106" s="30">
        <f t="shared" si="125"/>
        <v>2045141.6666666667</v>
      </c>
      <c r="AG106" s="30">
        <f t="shared" si="113"/>
        <v>3534004.8</v>
      </c>
      <c r="AH106" s="30">
        <f t="shared" si="114"/>
        <v>2509337.6964583336</v>
      </c>
      <c r="AI106" s="30">
        <f t="shared" si="126"/>
        <v>2454170</v>
      </c>
      <c r="AJ106" s="31">
        <f t="shared" si="104"/>
        <v>1362148.1909372124</v>
      </c>
      <c r="AK106" s="31">
        <f t="shared" si="105"/>
        <v>197336.77049988584</v>
      </c>
      <c r="AL106" s="30">
        <f t="shared" si="106"/>
        <v>1031773.3268389388</v>
      </c>
      <c r="AM106" s="31">
        <f t="shared" si="107"/>
        <v>192513.9472070788</v>
      </c>
      <c r="AN106" s="31">
        <f t="shared" si="108"/>
        <v>192513.9472070788</v>
      </c>
      <c r="AO106" s="30">
        <f t="shared" si="109"/>
        <v>354330.83541803836</v>
      </c>
      <c r="AP106" s="30">
        <v>0</v>
      </c>
      <c r="AQ106" s="32">
        <f t="shared" si="127"/>
        <v>11828129.514566563</v>
      </c>
      <c r="AR106" s="31">
        <f t="shared" si="110"/>
        <v>127993.80204739893</v>
      </c>
      <c r="AS106" s="31">
        <f t="shared" si="111"/>
        <v>120721.48417539311</v>
      </c>
      <c r="AT106" s="31">
        <f t="shared" si="128"/>
        <v>248715.28622279206</v>
      </c>
      <c r="AU106" s="33">
        <f t="shared" si="129"/>
        <v>55693953.561140157</v>
      </c>
    </row>
    <row r="107" spans="1:47" ht="15" customHeight="1" thickBot="1" x14ac:dyDescent="0.25">
      <c r="A107" s="41" t="s">
        <v>94</v>
      </c>
      <c r="B107" s="35">
        <v>25</v>
      </c>
      <c r="C107" s="35">
        <v>1</v>
      </c>
      <c r="D107" s="30">
        <v>2721902</v>
      </c>
      <c r="E107" s="30">
        <f t="shared" si="117"/>
        <v>32662824</v>
      </c>
      <c r="F107" s="30">
        <v>0</v>
      </c>
      <c r="G107" s="30">
        <v>0</v>
      </c>
      <c r="H107" s="30">
        <f t="shared" si="101"/>
        <v>0</v>
      </c>
      <c r="I107" s="30">
        <f t="shared" si="102"/>
        <v>0</v>
      </c>
      <c r="J107" s="30">
        <f t="shared" si="112"/>
        <v>1364258.8670138889</v>
      </c>
      <c r="K107" s="30">
        <f t="shared" si="89"/>
        <v>952665.7</v>
      </c>
      <c r="L107" s="30">
        <f t="shared" si="118"/>
        <v>6804755</v>
      </c>
      <c r="M107" s="30">
        <f t="shared" si="132"/>
        <v>3044481.3845220869</v>
      </c>
      <c r="N107" s="30">
        <f t="shared" si="119"/>
        <v>1554028.0472511575</v>
      </c>
      <c r="O107" s="30"/>
      <c r="P107" s="30">
        <f t="shared" si="103"/>
        <v>46383012.998787135</v>
      </c>
      <c r="Q107" s="30"/>
      <c r="R107" s="30"/>
      <c r="S107" s="30"/>
      <c r="T107" s="30"/>
      <c r="U107" s="30">
        <f t="shared" si="120"/>
        <v>0</v>
      </c>
      <c r="V107" s="30">
        <f t="shared" si="121"/>
        <v>46383012.998787135</v>
      </c>
      <c r="W107" s="30">
        <f t="shared" si="122"/>
        <v>2086791.5333333332</v>
      </c>
      <c r="X107" s="30">
        <v>0</v>
      </c>
      <c r="Y107" s="30">
        <f t="shared" si="131"/>
        <v>181460.13333333333</v>
      </c>
      <c r="Z107" s="30">
        <f t="shared" si="130"/>
        <v>2268251.6666666665</v>
      </c>
      <c r="AA107" s="30"/>
      <c r="AB107" s="30"/>
      <c r="AC107" s="30"/>
      <c r="AD107" s="30"/>
      <c r="AE107" s="30">
        <f t="shared" si="124"/>
        <v>0</v>
      </c>
      <c r="AF107" s="30">
        <f t="shared" si="125"/>
        <v>2268251.6666666665</v>
      </c>
      <c r="AG107" s="30">
        <f t="shared" si="113"/>
        <v>3919538.88</v>
      </c>
      <c r="AH107" s="30">
        <f t="shared" si="114"/>
        <v>2783088.0887083337</v>
      </c>
      <c r="AI107" s="30">
        <f t="shared" si="126"/>
        <v>2721902</v>
      </c>
      <c r="AJ107" s="31">
        <f t="shared" si="104"/>
        <v>1510748.5973703451</v>
      </c>
      <c r="AK107" s="31">
        <f t="shared" si="105"/>
        <v>218864.76906537864</v>
      </c>
      <c r="AL107" s="30">
        <f t="shared" si="106"/>
        <v>1144332.2515838596</v>
      </c>
      <c r="AM107" s="31">
        <f t="shared" si="107"/>
        <v>213515.81101995471</v>
      </c>
      <c r="AN107" s="31">
        <f t="shared" si="108"/>
        <v>213515.81101995471</v>
      </c>
      <c r="AO107" s="30">
        <f t="shared" si="109"/>
        <v>392985.73839058797</v>
      </c>
      <c r="AP107" s="30">
        <v>0</v>
      </c>
      <c r="AQ107" s="32">
        <f t="shared" si="127"/>
        <v>13118491.947158413</v>
      </c>
      <c r="AR107" s="31">
        <f t="shared" si="110"/>
        <v>141956.98985009975</v>
      </c>
      <c r="AS107" s="31">
        <f t="shared" si="111"/>
        <v>133891.31527969573</v>
      </c>
      <c r="AT107" s="31">
        <f t="shared" si="128"/>
        <v>275848.30512979545</v>
      </c>
      <c r="AU107" s="33">
        <f t="shared" si="129"/>
        <v>61769756.61261221</v>
      </c>
    </row>
    <row r="108" spans="1:47" ht="15" customHeight="1" thickTop="1" thickBot="1" x14ac:dyDescent="0.25">
      <c r="A108" s="43" t="s">
        <v>95</v>
      </c>
      <c r="B108" s="44"/>
      <c r="C108" s="45">
        <f t="shared" ref="C108:AT108" si="133">+C84+C52+C29+C24+C15</f>
        <v>1371</v>
      </c>
      <c r="D108" s="75">
        <f t="shared" si="133"/>
        <v>274790433</v>
      </c>
      <c r="E108" s="75">
        <f t="shared" si="133"/>
        <v>56819032404</v>
      </c>
      <c r="F108" s="75">
        <f t="shared" si="133"/>
        <v>193965252</v>
      </c>
      <c r="G108" s="75">
        <f t="shared" si="133"/>
        <v>1895732088</v>
      </c>
      <c r="H108" s="75">
        <f t="shared" si="133"/>
        <v>28554336</v>
      </c>
      <c r="I108" s="75">
        <f t="shared" si="133"/>
        <v>35793192</v>
      </c>
      <c r="J108" s="75">
        <f t="shared" si="133"/>
        <v>2394146316.4354167</v>
      </c>
      <c r="K108" s="75">
        <f t="shared" si="133"/>
        <v>2237665085.4000001</v>
      </c>
      <c r="L108" s="75">
        <f t="shared" si="133"/>
        <v>695071307.5</v>
      </c>
      <c r="M108" s="75">
        <f t="shared" si="133"/>
        <v>5851635573.9868441</v>
      </c>
      <c r="N108" s="75">
        <f t="shared" si="133"/>
        <v>4649516269.6993818</v>
      </c>
      <c r="O108" s="75">
        <f t="shared" si="133"/>
        <v>0</v>
      </c>
      <c r="P108" s="75">
        <f t="shared" si="133"/>
        <v>74801111825.021637</v>
      </c>
      <c r="Q108" s="75">
        <f t="shared" si="133"/>
        <v>0</v>
      </c>
      <c r="R108" s="75">
        <f t="shared" si="133"/>
        <v>0</v>
      </c>
      <c r="S108" s="75">
        <f t="shared" si="133"/>
        <v>0</v>
      </c>
      <c r="T108" s="75">
        <f t="shared" si="133"/>
        <v>0</v>
      </c>
      <c r="U108" s="75">
        <f t="shared" si="133"/>
        <v>0</v>
      </c>
      <c r="V108" s="75">
        <f t="shared" si="133"/>
        <v>74801111825.021637</v>
      </c>
      <c r="W108" s="75">
        <f t="shared" si="133"/>
        <v>5199520501.7533836</v>
      </c>
      <c r="X108" s="75">
        <f t="shared" si="133"/>
        <v>103000000</v>
      </c>
      <c r="Y108" s="75">
        <f t="shared" si="133"/>
        <v>317470962.73333341</v>
      </c>
      <c r="Z108" s="75">
        <f t="shared" si="133"/>
        <v>5619991464.4867172</v>
      </c>
      <c r="AA108" s="75">
        <f t="shared" si="133"/>
        <v>0</v>
      </c>
      <c r="AB108" s="75">
        <f t="shared" si="133"/>
        <v>0</v>
      </c>
      <c r="AC108" s="75">
        <f t="shared" si="133"/>
        <v>0</v>
      </c>
      <c r="AD108" s="75">
        <f t="shared" si="133"/>
        <v>0</v>
      </c>
      <c r="AE108" s="75">
        <f t="shared" si="133"/>
        <v>0</v>
      </c>
      <c r="AF108" s="75">
        <f>+AF84+AF52+AF29+AF24+AF15</f>
        <v>3828757532.811245</v>
      </c>
      <c r="AG108" s="75">
        <f t="shared" si="133"/>
        <v>6885937994.4609995</v>
      </c>
      <c r="AH108" s="75">
        <f t="shared" si="133"/>
        <v>4884058485.5282497</v>
      </c>
      <c r="AI108" s="75">
        <f t="shared" si="133"/>
        <v>4784647200.5</v>
      </c>
      <c r="AJ108" s="75">
        <f t="shared" si="133"/>
        <v>2628042006.0519938</v>
      </c>
      <c r="AK108" s="75">
        <f t="shared" si="133"/>
        <v>380729002.66124338</v>
      </c>
      <c r="AL108" s="75">
        <f t="shared" si="133"/>
        <v>1990637774.7277944</v>
      </c>
      <c r="AM108" s="75">
        <f t="shared" si="133"/>
        <v>371424154.41815877</v>
      </c>
      <c r="AN108" s="75">
        <f t="shared" si="133"/>
        <v>371424154.41815877</v>
      </c>
      <c r="AO108" s="75">
        <f t="shared" si="133"/>
        <v>683623357.36569166</v>
      </c>
      <c r="AP108" s="75">
        <f t="shared" si="133"/>
        <v>0</v>
      </c>
      <c r="AQ108" s="75">
        <f t="shared" si="133"/>
        <v>22980524130.13229</v>
      </c>
      <c r="AR108" s="75">
        <f t="shared" si="133"/>
        <v>246943093.66107219</v>
      </c>
      <c r="AS108" s="75">
        <f t="shared" si="133"/>
        <v>232912346.51024699</v>
      </c>
      <c r="AT108" s="75">
        <f t="shared" si="133"/>
        <v>479855440.17131907</v>
      </c>
      <c r="AU108" s="75">
        <f>+AU84+AU52+AU29+AU24+AU15</f>
        <v>101610393487.96518</v>
      </c>
    </row>
    <row r="109" spans="1:47" ht="15" customHeight="1" thickTop="1" thickBot="1" x14ac:dyDescent="0.25">
      <c r="A109" s="20" t="s">
        <v>96</v>
      </c>
      <c r="B109" s="46"/>
      <c r="C109" s="46"/>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8"/>
      <c r="AH109" s="48"/>
      <c r="AI109" s="48"/>
      <c r="AJ109" s="48"/>
      <c r="AK109" s="48"/>
      <c r="AL109" s="48"/>
      <c r="AM109" s="48"/>
      <c r="AN109" s="48"/>
      <c r="AO109" s="47"/>
      <c r="AP109" s="47"/>
      <c r="AQ109" s="49"/>
      <c r="AR109" s="48"/>
      <c r="AS109" s="48"/>
      <c r="AT109" s="48"/>
      <c r="AU109" s="49"/>
    </row>
    <row r="110" spans="1:47" ht="15" customHeight="1" thickTop="1" thickBot="1" x14ac:dyDescent="0.25">
      <c r="A110" s="76" t="s">
        <v>97</v>
      </c>
      <c r="B110" s="35"/>
      <c r="C110" s="77">
        <v>0</v>
      </c>
      <c r="D110" s="77">
        <v>0</v>
      </c>
      <c r="E110" s="77">
        <v>0</v>
      </c>
      <c r="F110" s="77">
        <v>0</v>
      </c>
      <c r="G110" s="77">
        <v>0</v>
      </c>
      <c r="H110" s="77">
        <v>0</v>
      </c>
      <c r="I110" s="77">
        <v>0</v>
      </c>
      <c r="J110" s="77">
        <v>0</v>
      </c>
      <c r="K110" s="77">
        <v>0</v>
      </c>
      <c r="L110" s="77">
        <v>0</v>
      </c>
      <c r="M110" s="77">
        <v>0</v>
      </c>
      <c r="N110" s="77">
        <v>0</v>
      </c>
      <c r="O110" s="77">
        <v>0</v>
      </c>
      <c r="P110" s="77">
        <v>0</v>
      </c>
      <c r="Q110" s="77">
        <v>0</v>
      </c>
      <c r="R110" s="77">
        <v>0</v>
      </c>
      <c r="S110" s="77">
        <v>0</v>
      </c>
      <c r="T110" s="77">
        <v>0</v>
      </c>
      <c r="U110" s="77">
        <v>0</v>
      </c>
      <c r="V110" s="77">
        <v>0</v>
      </c>
      <c r="W110" s="77">
        <v>0</v>
      </c>
      <c r="X110" s="77">
        <v>0</v>
      </c>
      <c r="Y110" s="77">
        <v>0</v>
      </c>
      <c r="Z110" s="77">
        <v>0</v>
      </c>
      <c r="AA110" s="77">
        <v>0</v>
      </c>
      <c r="AB110" s="77">
        <v>0</v>
      </c>
      <c r="AC110" s="77">
        <v>0</v>
      </c>
      <c r="AD110" s="77">
        <v>0</v>
      </c>
      <c r="AE110" s="77">
        <v>0</v>
      </c>
      <c r="AF110" s="77">
        <v>0</v>
      </c>
      <c r="AG110" s="77">
        <v>0</v>
      </c>
      <c r="AH110" s="77">
        <v>0</v>
      </c>
      <c r="AI110" s="77">
        <v>0</v>
      </c>
      <c r="AJ110" s="77">
        <v>0</v>
      </c>
      <c r="AK110" s="77">
        <v>0</v>
      </c>
      <c r="AL110" s="77">
        <v>0</v>
      </c>
      <c r="AM110" s="77">
        <v>0</v>
      </c>
      <c r="AN110" s="77">
        <v>0</v>
      </c>
      <c r="AO110" s="77">
        <v>0</v>
      </c>
      <c r="AP110" s="77">
        <v>0</v>
      </c>
      <c r="AQ110" s="77">
        <v>0</v>
      </c>
      <c r="AR110" s="77">
        <v>0</v>
      </c>
      <c r="AS110" s="77">
        <v>0</v>
      </c>
      <c r="AT110" s="77">
        <v>0</v>
      </c>
      <c r="AU110" s="77">
        <v>0</v>
      </c>
    </row>
    <row r="111" spans="1:47" ht="15" customHeight="1" thickTop="1" thickBot="1" x14ac:dyDescent="0.25">
      <c r="A111" s="43" t="s">
        <v>98</v>
      </c>
      <c r="B111" s="44"/>
      <c r="C111" s="45">
        <f t="shared" ref="C111:AT111" si="134">SUM(C110:C110)</f>
        <v>0</v>
      </c>
      <c r="D111" s="50">
        <f t="shared" si="134"/>
        <v>0</v>
      </c>
      <c r="E111" s="50">
        <f t="shared" si="134"/>
        <v>0</v>
      </c>
      <c r="F111" s="50">
        <f t="shared" si="134"/>
        <v>0</v>
      </c>
      <c r="G111" s="50">
        <f t="shared" si="134"/>
        <v>0</v>
      </c>
      <c r="H111" s="50">
        <f t="shared" si="134"/>
        <v>0</v>
      </c>
      <c r="I111" s="50">
        <f t="shared" si="134"/>
        <v>0</v>
      </c>
      <c r="J111" s="50">
        <f t="shared" si="134"/>
        <v>0</v>
      </c>
      <c r="K111" s="50">
        <f t="shared" si="134"/>
        <v>0</v>
      </c>
      <c r="L111" s="50">
        <f t="shared" si="134"/>
        <v>0</v>
      </c>
      <c r="M111" s="50">
        <f t="shared" si="134"/>
        <v>0</v>
      </c>
      <c r="N111" s="50">
        <f t="shared" si="134"/>
        <v>0</v>
      </c>
      <c r="O111" s="50">
        <f t="shared" si="134"/>
        <v>0</v>
      </c>
      <c r="P111" s="50">
        <f t="shared" si="134"/>
        <v>0</v>
      </c>
      <c r="Q111" s="50">
        <f t="shared" si="134"/>
        <v>0</v>
      </c>
      <c r="R111" s="50">
        <f t="shared" si="134"/>
        <v>0</v>
      </c>
      <c r="S111" s="50">
        <f t="shared" si="134"/>
        <v>0</v>
      </c>
      <c r="T111" s="50">
        <f t="shared" si="134"/>
        <v>0</v>
      </c>
      <c r="U111" s="51">
        <f t="shared" si="134"/>
        <v>0</v>
      </c>
      <c r="V111" s="52">
        <f t="shared" si="134"/>
        <v>0</v>
      </c>
      <c r="W111" s="50">
        <f t="shared" si="134"/>
        <v>0</v>
      </c>
      <c r="X111" s="50">
        <f t="shared" si="134"/>
        <v>0</v>
      </c>
      <c r="Y111" s="50">
        <f t="shared" si="134"/>
        <v>0</v>
      </c>
      <c r="Z111" s="50">
        <f t="shared" si="134"/>
        <v>0</v>
      </c>
      <c r="AA111" s="50">
        <f t="shared" si="134"/>
        <v>0</v>
      </c>
      <c r="AB111" s="50">
        <f t="shared" si="134"/>
        <v>0</v>
      </c>
      <c r="AC111" s="50">
        <f t="shared" si="134"/>
        <v>0</v>
      </c>
      <c r="AD111" s="50">
        <f t="shared" si="134"/>
        <v>0</v>
      </c>
      <c r="AE111" s="50">
        <f t="shared" si="134"/>
        <v>0</v>
      </c>
      <c r="AF111" s="50">
        <f t="shared" si="134"/>
        <v>0</v>
      </c>
      <c r="AG111" s="50">
        <f t="shared" si="134"/>
        <v>0</v>
      </c>
      <c r="AH111" s="50">
        <f t="shared" si="134"/>
        <v>0</v>
      </c>
      <c r="AI111" s="50">
        <f t="shared" si="134"/>
        <v>0</v>
      </c>
      <c r="AJ111" s="50">
        <f t="shared" si="134"/>
        <v>0</v>
      </c>
      <c r="AK111" s="50">
        <f t="shared" si="134"/>
        <v>0</v>
      </c>
      <c r="AL111" s="50">
        <f t="shared" si="134"/>
        <v>0</v>
      </c>
      <c r="AM111" s="50">
        <f t="shared" si="134"/>
        <v>0</v>
      </c>
      <c r="AN111" s="50">
        <f t="shared" si="134"/>
        <v>0</v>
      </c>
      <c r="AO111" s="50">
        <f t="shared" si="134"/>
        <v>0</v>
      </c>
      <c r="AP111" s="50">
        <f t="shared" si="134"/>
        <v>0</v>
      </c>
      <c r="AQ111" s="51">
        <f t="shared" si="134"/>
        <v>0</v>
      </c>
      <c r="AR111" s="50">
        <f t="shared" si="134"/>
        <v>0</v>
      </c>
      <c r="AS111" s="50">
        <f t="shared" si="134"/>
        <v>0</v>
      </c>
      <c r="AT111" s="50">
        <f t="shared" si="134"/>
        <v>0</v>
      </c>
      <c r="AU111" s="51">
        <f>V111+AF111+AQ111</f>
        <v>0</v>
      </c>
    </row>
    <row r="112" spans="1:47" ht="15" customHeight="1" thickTop="1" thickBot="1" x14ac:dyDescent="0.25">
      <c r="A112" s="53" t="s">
        <v>99</v>
      </c>
      <c r="B112" s="54"/>
      <c r="C112" s="55">
        <f t="shared" ref="C112:O112" si="135">C108+C111</f>
        <v>1371</v>
      </c>
      <c r="D112" s="56">
        <f t="shared" si="135"/>
        <v>274790433</v>
      </c>
      <c r="E112" s="56">
        <f t="shared" si="135"/>
        <v>56819032404</v>
      </c>
      <c r="F112" s="56">
        <f t="shared" si="135"/>
        <v>193965252</v>
      </c>
      <c r="G112" s="56">
        <f t="shared" si="135"/>
        <v>1895732088</v>
      </c>
      <c r="H112" s="56">
        <f t="shared" si="135"/>
        <v>28554336</v>
      </c>
      <c r="I112" s="56">
        <f t="shared" si="135"/>
        <v>35793192</v>
      </c>
      <c r="J112" s="56">
        <f t="shared" si="135"/>
        <v>2394146316.4354167</v>
      </c>
      <c r="K112" s="56">
        <f t="shared" si="135"/>
        <v>2237665085.4000001</v>
      </c>
      <c r="L112" s="56">
        <f t="shared" si="135"/>
        <v>695071307.5</v>
      </c>
      <c r="M112" s="56">
        <f t="shared" si="135"/>
        <v>5851635573.9868441</v>
      </c>
      <c r="N112" s="56">
        <f t="shared" si="135"/>
        <v>4649516269.6993818</v>
      </c>
      <c r="O112" s="56">
        <f t="shared" si="135"/>
        <v>0</v>
      </c>
      <c r="P112" s="56">
        <f>SUM(E112:O112)</f>
        <v>74801111825.021652</v>
      </c>
      <c r="Q112" s="56">
        <f>Q108+Q111</f>
        <v>0</v>
      </c>
      <c r="R112" s="56">
        <f>R108+R111</f>
        <v>0</v>
      </c>
      <c r="S112" s="56">
        <f>S108+S111</f>
        <v>0</v>
      </c>
      <c r="T112" s="56">
        <f>T108+T111</f>
        <v>0</v>
      </c>
      <c r="U112" s="57">
        <f>SUM(Q112:T112)</f>
        <v>0</v>
      </c>
      <c r="V112" s="58">
        <f>P112+U112</f>
        <v>74801111825.021652</v>
      </c>
      <c r="W112" s="56">
        <f>W108+W111</f>
        <v>5199520501.7533836</v>
      </c>
      <c r="X112" s="56">
        <f>X108+X111</f>
        <v>103000000</v>
      </c>
      <c r="Y112" s="56">
        <f>Y108+Y111</f>
        <v>317470962.73333341</v>
      </c>
      <c r="Z112" s="56">
        <f>SUM(W112:Y112)</f>
        <v>5619991464.4867172</v>
      </c>
      <c r="AA112" s="56">
        <f>AA108+AA111</f>
        <v>0</v>
      </c>
      <c r="AB112" s="56">
        <f>AB108+AB111</f>
        <v>0</v>
      </c>
      <c r="AC112" s="56">
        <f>AC108+AC111</f>
        <v>0</v>
      </c>
      <c r="AD112" s="56">
        <f>AD108+AD111</f>
        <v>0</v>
      </c>
      <c r="AE112" s="56">
        <f>SUM(AA112:AD112)</f>
        <v>0</v>
      </c>
      <c r="AF112" s="56">
        <f>+AF111+AF108</f>
        <v>3828757532.811245</v>
      </c>
      <c r="AG112" s="56">
        <f t="shared" ref="AG112:AP112" si="136">AG108+AG111</f>
        <v>6885937994.4609995</v>
      </c>
      <c r="AH112" s="56">
        <f t="shared" si="136"/>
        <v>4884058485.5282497</v>
      </c>
      <c r="AI112" s="56">
        <f t="shared" si="136"/>
        <v>4784647200.5</v>
      </c>
      <c r="AJ112" s="56">
        <f t="shared" si="136"/>
        <v>2628042006.0519938</v>
      </c>
      <c r="AK112" s="56">
        <f t="shared" si="136"/>
        <v>380729002.66124338</v>
      </c>
      <c r="AL112" s="56">
        <f t="shared" si="136"/>
        <v>1990637774.7277944</v>
      </c>
      <c r="AM112" s="56">
        <f t="shared" si="136"/>
        <v>371424154.41815877</v>
      </c>
      <c r="AN112" s="56">
        <f t="shared" si="136"/>
        <v>371424154.41815877</v>
      </c>
      <c r="AO112" s="56">
        <f t="shared" si="136"/>
        <v>683623357.36569166</v>
      </c>
      <c r="AP112" s="56">
        <f t="shared" si="136"/>
        <v>0</v>
      </c>
      <c r="AQ112" s="57">
        <f>SUM(AG112:AP112)</f>
        <v>22980524130.132294</v>
      </c>
      <c r="AR112" s="56">
        <f>AR108+AR111</f>
        <v>246943093.66107219</v>
      </c>
      <c r="AS112" s="56">
        <f>AS108+AS111</f>
        <v>232912346.51024699</v>
      </c>
      <c r="AT112" s="59">
        <f>SUM(AR112:AS112)</f>
        <v>479855440.17131919</v>
      </c>
      <c r="AU112" s="57">
        <f>V112+AF112+AQ112</f>
        <v>101610393487.96519</v>
      </c>
    </row>
    <row r="113" spans="1:51" ht="23" customHeight="1" thickTop="1" x14ac:dyDescent="0.2">
      <c r="A113" s="84" t="s">
        <v>102</v>
      </c>
      <c r="B113" s="84"/>
      <c r="C113" s="84"/>
      <c r="D113" s="84"/>
      <c r="E113" s="2"/>
      <c r="F113" s="2"/>
      <c r="G113" s="2"/>
      <c r="H113" s="2"/>
      <c r="I113" s="2"/>
      <c r="J113" s="2"/>
      <c r="K113" s="2"/>
      <c r="L113" s="2"/>
      <c r="M113" s="2"/>
      <c r="N113" s="2"/>
      <c r="O113" s="2"/>
      <c r="P113" s="2"/>
      <c r="Q113" s="2"/>
      <c r="R113" s="2"/>
      <c r="S113" s="2"/>
      <c r="T113" s="2"/>
      <c r="U113" s="2"/>
      <c r="V113" s="2"/>
      <c r="W113" s="1"/>
      <c r="X113" s="1"/>
      <c r="Y113" s="1"/>
      <c r="Z113" s="1"/>
      <c r="AA113" s="1"/>
      <c r="AB113" s="1"/>
      <c r="AC113" s="1"/>
      <c r="AD113" s="1"/>
      <c r="AE113" s="1"/>
      <c r="AF113" s="3"/>
      <c r="AG113" s="1"/>
      <c r="AH113" s="2"/>
      <c r="AI113" s="2"/>
      <c r="AJ113" s="2"/>
      <c r="AK113" s="1"/>
      <c r="AL113" s="1"/>
      <c r="AM113" s="1"/>
      <c r="AN113" s="1"/>
      <c r="AO113" s="1"/>
      <c r="AP113" s="1"/>
      <c r="AQ113" s="1"/>
      <c r="AR113" s="1"/>
      <c r="AS113" s="1"/>
      <c r="AT113" s="1"/>
      <c r="AU113" s="3"/>
    </row>
    <row r="114" spans="1:51" ht="27" customHeight="1" x14ac:dyDescent="0.2">
      <c r="A114" s="85"/>
      <c r="B114" s="85"/>
      <c r="C114" s="85"/>
      <c r="D114" s="85"/>
    </row>
    <row r="115" spans="1:51" ht="8" customHeight="1" x14ac:dyDescent="0.2"/>
    <row r="119" spans="1:51" x14ac:dyDescent="0.2">
      <c r="AY119" s="79"/>
    </row>
    <row r="121" spans="1:51" x14ac:dyDescent="0.2">
      <c r="AY121" s="74"/>
    </row>
    <row r="123" spans="1:51" x14ac:dyDescent="0.2">
      <c r="AY123" s="74"/>
    </row>
  </sheetData>
  <sheetProtection algorithmName="SHA-512" hashValue="+mrz0eh6wBsRkHaWrBFbg58wKIj3+DdhbtZWf+VeICFDSAeKD9V/cX1S9FfItdTbQ0lRM72D+YOhG7WcdaR5dA==" saltValue="Rq6bqudrq57zigtMcBMSQg==" spinCount="100000" sheet="1" objects="1" scenarios="1"/>
  <mergeCells count="62">
    <mergeCell ref="AS10:AS12"/>
    <mergeCell ref="AT10:AT12"/>
    <mergeCell ref="D11:E11"/>
    <mergeCell ref="F11:F12"/>
    <mergeCell ref="G11:G12"/>
    <mergeCell ref="H11:H12"/>
    <mergeCell ref="I11:I12"/>
    <mergeCell ref="J11:J12"/>
    <mergeCell ref="K11:K12"/>
    <mergeCell ref="L11:L12"/>
    <mergeCell ref="AM10:AM12"/>
    <mergeCell ref="AN10:AN12"/>
    <mergeCell ref="AO10:AO12"/>
    <mergeCell ref="AP10:AP12"/>
    <mergeCell ref="AQ10:AQ12"/>
    <mergeCell ref="M11:M12"/>
    <mergeCell ref="AR10:AR12"/>
    <mergeCell ref="AR9:AT9"/>
    <mergeCell ref="AU9:AU12"/>
    <mergeCell ref="D10:P10"/>
    <mergeCell ref="Q10:U10"/>
    <mergeCell ref="V10:V12"/>
    <mergeCell ref="W10:Z10"/>
    <mergeCell ref="AA10:AE10"/>
    <mergeCell ref="AF10:AF12"/>
    <mergeCell ref="AG10:AG12"/>
    <mergeCell ref="AH10:AH12"/>
    <mergeCell ref="AG9:AQ9"/>
    <mergeCell ref="AI10:AI12"/>
    <mergeCell ref="AJ10:AJ12"/>
    <mergeCell ref="AK10:AK12"/>
    <mergeCell ref="AL10:AL12"/>
    <mergeCell ref="P11:P12"/>
    <mergeCell ref="Q11:Q12"/>
    <mergeCell ref="AE11:AE12"/>
    <mergeCell ref="S11:S12"/>
    <mergeCell ref="T11:T12"/>
    <mergeCell ref="U11:U12"/>
    <mergeCell ref="W11:W12"/>
    <mergeCell ref="X11:X12"/>
    <mergeCell ref="AD11:AD12"/>
    <mergeCell ref="Y11:Y12"/>
    <mergeCell ref="Z11:Z12"/>
    <mergeCell ref="AA11:AA12"/>
    <mergeCell ref="AB11:AB12"/>
    <mergeCell ref="AC11:AC12"/>
    <mergeCell ref="D12:D13"/>
    <mergeCell ref="A113:D114"/>
    <mergeCell ref="D7:K7"/>
    <mergeCell ref="A1:AU1"/>
    <mergeCell ref="A2:AU2"/>
    <mergeCell ref="A3:AU3"/>
    <mergeCell ref="B4:L4"/>
    <mergeCell ref="B5:L5"/>
    <mergeCell ref="A9:A12"/>
    <mergeCell ref="B9:B12"/>
    <mergeCell ref="C9:C12"/>
    <mergeCell ref="D9:V9"/>
    <mergeCell ref="W9:AF9"/>
    <mergeCell ref="R11:R12"/>
    <mergeCell ref="N11:N12"/>
    <mergeCell ref="O11:O12"/>
  </mergeCells>
  <dataValidations count="1">
    <dataValidation type="list" allowBlank="1" showInputMessage="1" showErrorMessage="1" sqref="B4:L4" xr:uid="{00000000-0002-0000-0000-000000000000}">
      <formula1>#REF!</formula1>
    </dataValidation>
  </dataValidations>
  <pageMargins left="0.7" right="0.7" top="0.75" bottom="0.75" header="0.3" footer="0.3"/>
  <ignoredErrors>
    <ignoredError sqref="C15:AU15 C25:F26 C24:F24 C20:F23 C19:F19 H19:AU19 C29:F29 C27:F27 C52:G52 C30:E30 H30:AU30 C31:F31 H31:AU31 C32:F32 H32:AU32 C33:F33 H33:AU33 C34:F34 H34:AU34 C35:F35 H35:AU35 C36:F36 H36:AU36 C37:F37 H37:AU37 C38:F38 H38:AU38 C39 H39:AU39 C40:F40 H40:AU40 C41:F51 H41:AU51 C84:G84 C53:F70 H53:AU70 C71:F83 H71:AU83 C108:AU108 C85:F107 H85:AU104 C28:E28 C18:F18 C17:F17 H17:AU17 C16:F16 H16:AU16 H105:K107 M105:AU107 H18:AU18 H20:AU23 G16:G23 C111:AU112 Y52:AD52 E39:F39" unlockedFormula="1"/>
    <ignoredError sqref="G25:G28 H24:AT24 H25:AU26 H28:AU28 H27:AU27 G29:AU29 G24 H52 I52:X52 AE52:AP52 AQ52:AU52 H84 I84:AI84 AJ84:AU84" formula="1" unlockedFormula="1"/>
    <ignoredError sqref="AU24" formula="1"/>
    <ignoredError sqref="B30:B86 B92:B97" numberStoredAsText="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8"/>
  <sheetViews>
    <sheetView workbookViewId="0">
      <selection activeCell="D7" sqref="D7:K7"/>
    </sheetView>
  </sheetViews>
  <sheetFormatPr baseColWidth="10" defaultRowHeight="16" x14ac:dyDescent="0.2"/>
  <cols>
    <col min="1" max="1" width="55.83203125" customWidth="1"/>
    <col min="2" max="3" width="11.1640625" bestFit="1" customWidth="1"/>
    <col min="4" max="4" width="16.33203125" bestFit="1" customWidth="1"/>
    <col min="5" max="5" width="18.83203125" bestFit="1" customWidth="1"/>
    <col min="6" max="6" width="16.33203125" bestFit="1" customWidth="1"/>
    <col min="7" max="7" width="19.5" customWidth="1"/>
    <col min="8" max="9" width="15.1640625" bestFit="1" customWidth="1"/>
    <col min="10" max="11" width="17.83203125" bestFit="1" customWidth="1"/>
    <col min="12" max="12" width="16.33203125" bestFit="1" customWidth="1"/>
    <col min="13" max="14" width="17.83203125" bestFit="1" customWidth="1"/>
    <col min="15" max="15" width="11.1640625" bestFit="1" customWidth="1"/>
    <col min="16" max="16" width="18.83203125" bestFit="1" customWidth="1"/>
    <col min="17" max="21" width="11.1640625" bestFit="1" customWidth="1"/>
    <col min="22" max="22" width="18.83203125" bestFit="1" customWidth="1"/>
    <col min="23" max="23" width="17.83203125" bestFit="1" customWidth="1"/>
    <col min="24" max="25" width="16.33203125" bestFit="1" customWidth="1"/>
    <col min="26" max="26" width="17.83203125" bestFit="1" customWidth="1"/>
    <col min="27" max="31" width="11.1640625" bestFit="1" customWidth="1"/>
    <col min="32" max="36" width="17.83203125" bestFit="1" customWidth="1"/>
    <col min="37" max="37" width="16.33203125" bestFit="1" customWidth="1"/>
    <col min="38" max="38" width="17.83203125" bestFit="1" customWidth="1"/>
    <col min="39" max="41" width="16.33203125" bestFit="1" customWidth="1"/>
    <col min="42" max="42" width="11.1640625" bestFit="1" customWidth="1"/>
    <col min="43" max="43" width="18.83203125" bestFit="1" customWidth="1"/>
    <col min="44" max="46" width="16.33203125" bestFit="1" customWidth="1"/>
    <col min="47" max="47" width="20.83203125" customWidth="1"/>
    <col min="51" max="51" width="18.33203125" customWidth="1"/>
  </cols>
  <sheetData>
    <row r="1" spans="1:47" ht="15" customHeight="1" x14ac:dyDescent="0.2">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7" ht="15" customHeight="1" x14ac:dyDescent="0.2">
      <c r="A2" s="87" t="s">
        <v>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7" ht="15" customHeight="1" x14ac:dyDescent="0.2">
      <c r="A3" s="88" t="s">
        <v>2</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row>
    <row r="4" spans="1:47" ht="15" customHeight="1" x14ac:dyDescent="0.2">
      <c r="A4" s="4" t="s">
        <v>3</v>
      </c>
      <c r="B4" s="89" t="s">
        <v>4</v>
      </c>
      <c r="C4" s="89"/>
      <c r="D4" s="89"/>
      <c r="E4" s="89"/>
      <c r="F4" s="89"/>
      <c r="G4" s="89"/>
      <c r="H4" s="89"/>
      <c r="I4" s="89"/>
      <c r="J4" s="89"/>
      <c r="K4" s="89"/>
      <c r="L4" s="89"/>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row>
    <row r="5" spans="1:47" ht="15" customHeight="1" x14ac:dyDescent="0.2">
      <c r="A5" s="4" t="s">
        <v>5</v>
      </c>
      <c r="B5" s="90" t="s">
        <v>100</v>
      </c>
      <c r="C5" s="90"/>
      <c r="D5" s="90"/>
      <c r="E5" s="90"/>
      <c r="F5" s="90"/>
      <c r="G5" s="90"/>
      <c r="H5" s="90"/>
      <c r="I5" s="90"/>
      <c r="J5" s="90"/>
      <c r="K5" s="90"/>
      <c r="L5" s="90"/>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row>
    <row r="6" spans="1:47" ht="15" customHeight="1" x14ac:dyDescent="0.2">
      <c r="A6" s="6"/>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46" customHeight="1" x14ac:dyDescent="0.2">
      <c r="A7" s="5"/>
      <c r="B7" s="5"/>
      <c r="C7" s="7"/>
      <c r="D7" s="86" t="s">
        <v>113</v>
      </c>
      <c r="E7" s="86"/>
      <c r="F7" s="86"/>
      <c r="G7" s="86"/>
      <c r="H7" s="86"/>
      <c r="I7" s="86"/>
      <c r="J7" s="86"/>
      <c r="K7" s="86"/>
      <c r="L7" s="81">
        <v>2021</v>
      </c>
      <c r="M7" s="5"/>
      <c r="N7" s="5"/>
      <c r="O7" s="8" t="s">
        <v>6</v>
      </c>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row>
    <row r="8" spans="1:47" ht="15" customHeight="1" thickBot="1" x14ac:dyDescent="0.25">
      <c r="A8" s="9"/>
      <c r="B8" s="7"/>
      <c r="C8" s="10"/>
      <c r="D8" s="11"/>
      <c r="E8" s="11"/>
      <c r="F8" s="11"/>
      <c r="G8" s="11"/>
      <c r="H8" s="12"/>
      <c r="I8" s="11"/>
      <c r="J8" s="11"/>
      <c r="K8" s="11"/>
      <c r="L8" s="11"/>
      <c r="M8" s="11"/>
      <c r="N8" s="11"/>
      <c r="O8" s="11"/>
      <c r="P8" s="11"/>
      <c r="Q8" s="11"/>
      <c r="R8" s="11"/>
      <c r="S8" s="11"/>
      <c r="T8" s="11"/>
      <c r="U8" s="11"/>
      <c r="V8" s="11"/>
      <c r="W8" s="5"/>
      <c r="X8" s="5"/>
      <c r="Y8" s="5"/>
      <c r="Z8" s="5"/>
      <c r="AA8" s="5"/>
      <c r="AB8" s="5"/>
      <c r="AC8" s="5"/>
      <c r="AD8" s="5"/>
      <c r="AE8" s="5"/>
      <c r="AF8" s="5"/>
      <c r="AG8" s="5"/>
      <c r="AH8" s="5"/>
      <c r="AI8" s="5"/>
      <c r="AJ8" s="5"/>
      <c r="AK8" s="5"/>
      <c r="AL8" s="5"/>
      <c r="AM8" s="5"/>
      <c r="AN8" s="5"/>
      <c r="AO8" s="5"/>
      <c r="AP8" s="5"/>
      <c r="AQ8" s="5"/>
      <c r="AR8" s="5"/>
      <c r="AS8" s="5"/>
      <c r="AT8" s="5"/>
      <c r="AU8" s="5"/>
    </row>
    <row r="9" spans="1:47" ht="15" customHeight="1" thickTop="1" x14ac:dyDescent="0.2">
      <c r="A9" s="91" t="s">
        <v>7</v>
      </c>
      <c r="B9" s="93" t="s">
        <v>8</v>
      </c>
      <c r="C9" s="95" t="s">
        <v>9</v>
      </c>
      <c r="D9" s="94" t="s">
        <v>10</v>
      </c>
      <c r="E9" s="97"/>
      <c r="F9" s="97"/>
      <c r="G9" s="97"/>
      <c r="H9" s="97"/>
      <c r="I9" s="97"/>
      <c r="J9" s="97"/>
      <c r="K9" s="97"/>
      <c r="L9" s="97"/>
      <c r="M9" s="97"/>
      <c r="N9" s="97"/>
      <c r="O9" s="97"/>
      <c r="P9" s="97"/>
      <c r="Q9" s="98"/>
      <c r="R9" s="98"/>
      <c r="S9" s="98"/>
      <c r="T9" s="98"/>
      <c r="U9" s="98"/>
      <c r="V9" s="99"/>
      <c r="W9" s="100" t="s">
        <v>11</v>
      </c>
      <c r="X9" s="101"/>
      <c r="Y9" s="101"/>
      <c r="Z9" s="101"/>
      <c r="AA9" s="101"/>
      <c r="AB9" s="101"/>
      <c r="AC9" s="101"/>
      <c r="AD9" s="101"/>
      <c r="AE9" s="101"/>
      <c r="AF9" s="102"/>
      <c r="AG9" s="100" t="s">
        <v>12</v>
      </c>
      <c r="AH9" s="101"/>
      <c r="AI9" s="101"/>
      <c r="AJ9" s="101"/>
      <c r="AK9" s="101"/>
      <c r="AL9" s="101"/>
      <c r="AM9" s="101"/>
      <c r="AN9" s="101"/>
      <c r="AO9" s="101"/>
      <c r="AP9" s="101"/>
      <c r="AQ9" s="102"/>
      <c r="AR9" s="94" t="s">
        <v>13</v>
      </c>
      <c r="AS9" s="97"/>
      <c r="AT9" s="92"/>
      <c r="AU9" s="104" t="s">
        <v>14</v>
      </c>
    </row>
    <row r="10" spans="1:47" ht="15" customHeight="1" x14ac:dyDescent="0.2">
      <c r="A10" s="92"/>
      <c r="B10" s="94"/>
      <c r="C10" s="94"/>
      <c r="D10" s="106" t="s">
        <v>15</v>
      </c>
      <c r="E10" s="107"/>
      <c r="F10" s="107"/>
      <c r="G10" s="107"/>
      <c r="H10" s="107"/>
      <c r="I10" s="107"/>
      <c r="J10" s="107"/>
      <c r="K10" s="107"/>
      <c r="L10" s="107"/>
      <c r="M10" s="107"/>
      <c r="N10" s="107"/>
      <c r="O10" s="107"/>
      <c r="P10" s="108"/>
      <c r="Q10" s="106" t="s">
        <v>16</v>
      </c>
      <c r="R10" s="107"/>
      <c r="S10" s="107"/>
      <c r="T10" s="107"/>
      <c r="U10" s="108"/>
      <c r="V10" s="82" t="s">
        <v>17</v>
      </c>
      <c r="W10" s="106" t="s">
        <v>18</v>
      </c>
      <c r="X10" s="107"/>
      <c r="Y10" s="107"/>
      <c r="Z10" s="108"/>
      <c r="AA10" s="106" t="s">
        <v>19</v>
      </c>
      <c r="AB10" s="107"/>
      <c r="AC10" s="107"/>
      <c r="AD10" s="107"/>
      <c r="AE10" s="108"/>
      <c r="AF10" s="82" t="s">
        <v>17</v>
      </c>
      <c r="AG10" s="96" t="s">
        <v>20</v>
      </c>
      <c r="AH10" s="96" t="s">
        <v>21</v>
      </c>
      <c r="AI10" s="96" t="s">
        <v>22</v>
      </c>
      <c r="AJ10" s="96" t="s">
        <v>23</v>
      </c>
      <c r="AK10" s="96" t="s">
        <v>24</v>
      </c>
      <c r="AL10" s="96" t="s">
        <v>25</v>
      </c>
      <c r="AM10" s="96" t="s">
        <v>26</v>
      </c>
      <c r="AN10" s="96" t="s">
        <v>27</v>
      </c>
      <c r="AO10" s="96" t="s">
        <v>28</v>
      </c>
      <c r="AP10" s="96" t="s">
        <v>29</v>
      </c>
      <c r="AQ10" s="96" t="s">
        <v>17</v>
      </c>
      <c r="AR10" s="103" t="s">
        <v>30</v>
      </c>
      <c r="AS10" s="103" t="s">
        <v>31</v>
      </c>
      <c r="AT10" s="103" t="s">
        <v>32</v>
      </c>
      <c r="AU10" s="105"/>
    </row>
    <row r="11" spans="1:47" ht="15" customHeight="1" x14ac:dyDescent="0.2">
      <c r="A11" s="92"/>
      <c r="B11" s="94"/>
      <c r="C11" s="96"/>
      <c r="D11" s="106" t="s">
        <v>33</v>
      </c>
      <c r="E11" s="108"/>
      <c r="F11" s="82" t="s">
        <v>34</v>
      </c>
      <c r="G11" s="82" t="s">
        <v>35</v>
      </c>
      <c r="H11" s="82" t="s">
        <v>36</v>
      </c>
      <c r="I11" s="82" t="s">
        <v>37</v>
      </c>
      <c r="J11" s="82" t="s">
        <v>38</v>
      </c>
      <c r="K11" s="82" t="s">
        <v>39</v>
      </c>
      <c r="L11" s="82" t="s">
        <v>40</v>
      </c>
      <c r="M11" s="82" t="s">
        <v>41</v>
      </c>
      <c r="N11" s="82" t="s">
        <v>42</v>
      </c>
      <c r="O11" s="82" t="s">
        <v>43</v>
      </c>
      <c r="P11" s="82" t="s">
        <v>44</v>
      </c>
      <c r="Q11" s="82" t="s">
        <v>45</v>
      </c>
      <c r="R11" s="82" t="s">
        <v>46</v>
      </c>
      <c r="S11" s="82" t="s">
        <v>47</v>
      </c>
      <c r="T11" s="82" t="s">
        <v>48</v>
      </c>
      <c r="U11" s="82" t="s">
        <v>49</v>
      </c>
      <c r="V11" s="96"/>
      <c r="W11" s="82" t="s">
        <v>50</v>
      </c>
      <c r="X11" s="82" t="s">
        <v>51</v>
      </c>
      <c r="Y11" s="82" t="s">
        <v>52</v>
      </c>
      <c r="Z11" s="82" t="s">
        <v>44</v>
      </c>
      <c r="AA11" s="82" t="s">
        <v>53</v>
      </c>
      <c r="AB11" s="82" t="s">
        <v>54</v>
      </c>
      <c r="AC11" s="82" t="s">
        <v>55</v>
      </c>
      <c r="AD11" s="82" t="s">
        <v>56</v>
      </c>
      <c r="AE11" s="82" t="s">
        <v>49</v>
      </c>
      <c r="AF11" s="96"/>
      <c r="AG11" s="96"/>
      <c r="AH11" s="96"/>
      <c r="AI11" s="96"/>
      <c r="AJ11" s="96"/>
      <c r="AK11" s="96"/>
      <c r="AL11" s="96"/>
      <c r="AM11" s="96"/>
      <c r="AN11" s="96"/>
      <c r="AO11" s="96" t="s">
        <v>57</v>
      </c>
      <c r="AP11" s="96" t="s">
        <v>57</v>
      </c>
      <c r="AQ11" s="96" t="s">
        <v>57</v>
      </c>
      <c r="AR11" s="103"/>
      <c r="AS11" s="103"/>
      <c r="AT11" s="103"/>
      <c r="AU11" s="105"/>
    </row>
    <row r="12" spans="1:47" ht="25" customHeight="1" x14ac:dyDescent="0.2">
      <c r="A12" s="92"/>
      <c r="B12" s="94"/>
      <c r="C12" s="96"/>
      <c r="D12" s="82" t="s">
        <v>104</v>
      </c>
      <c r="E12" s="67" t="s">
        <v>58</v>
      </c>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t="s">
        <v>59</v>
      </c>
      <c r="AP12" s="96" t="s">
        <v>59</v>
      </c>
      <c r="AQ12" s="96" t="s">
        <v>59</v>
      </c>
      <c r="AR12" s="103"/>
      <c r="AS12" s="103"/>
      <c r="AT12" s="103"/>
      <c r="AU12" s="105"/>
    </row>
    <row r="13" spans="1:47" ht="21" customHeight="1" thickBot="1" x14ac:dyDescent="0.25">
      <c r="A13" s="69">
        <v>1</v>
      </c>
      <c r="B13" s="15">
        <v>2</v>
      </c>
      <c r="C13" s="16">
        <v>3</v>
      </c>
      <c r="D13" s="83"/>
      <c r="E13" s="69">
        <v>4.0999999999999996</v>
      </c>
      <c r="F13" s="69">
        <v>4.2</v>
      </c>
      <c r="G13" s="69">
        <v>4.3</v>
      </c>
      <c r="H13" s="69">
        <v>4.4000000000000004</v>
      </c>
      <c r="I13" s="69">
        <v>4.5</v>
      </c>
      <c r="J13" s="69">
        <v>4.5999999999999996</v>
      </c>
      <c r="K13" s="69">
        <v>4.7</v>
      </c>
      <c r="L13" s="69">
        <v>4.8</v>
      </c>
      <c r="M13" s="69">
        <v>4.9000000000000004</v>
      </c>
      <c r="N13" s="17">
        <v>4.0999999999999996</v>
      </c>
      <c r="O13" s="69">
        <v>4.1100000000000003</v>
      </c>
      <c r="P13" s="69">
        <v>4</v>
      </c>
      <c r="Q13" s="16">
        <v>5.0999999999999996</v>
      </c>
      <c r="R13" s="69">
        <v>5.2</v>
      </c>
      <c r="S13" s="69">
        <v>5.3</v>
      </c>
      <c r="T13" s="69">
        <v>5.4</v>
      </c>
      <c r="U13" s="69">
        <v>5</v>
      </c>
      <c r="V13" s="69" t="s">
        <v>60</v>
      </c>
      <c r="W13" s="69">
        <v>7.1</v>
      </c>
      <c r="X13" s="69">
        <v>7.2</v>
      </c>
      <c r="Y13" s="69">
        <v>7.3</v>
      </c>
      <c r="Z13" s="69">
        <v>7</v>
      </c>
      <c r="AA13" s="69">
        <v>8.1</v>
      </c>
      <c r="AB13" s="69">
        <v>8.1999999999999993</v>
      </c>
      <c r="AC13" s="69">
        <v>8.3000000000000007</v>
      </c>
      <c r="AD13" s="69">
        <v>8.4</v>
      </c>
      <c r="AE13" s="69">
        <v>8</v>
      </c>
      <c r="AF13" s="69" t="s">
        <v>61</v>
      </c>
      <c r="AG13" s="69">
        <v>10.1</v>
      </c>
      <c r="AH13" s="69">
        <v>10.199999999999999</v>
      </c>
      <c r="AI13" s="69">
        <v>10.3</v>
      </c>
      <c r="AJ13" s="69">
        <v>10.4</v>
      </c>
      <c r="AK13" s="69">
        <v>10.5</v>
      </c>
      <c r="AL13" s="69">
        <v>10.6</v>
      </c>
      <c r="AM13" s="69">
        <v>10.7</v>
      </c>
      <c r="AN13" s="69">
        <v>10.8</v>
      </c>
      <c r="AO13" s="69">
        <v>10.9</v>
      </c>
      <c r="AP13" s="17">
        <v>10.1</v>
      </c>
      <c r="AQ13" s="69">
        <v>10</v>
      </c>
      <c r="AR13" s="68">
        <v>11.1</v>
      </c>
      <c r="AS13" s="68">
        <v>11.2</v>
      </c>
      <c r="AT13" s="68" t="s">
        <v>62</v>
      </c>
      <c r="AU13" s="19" t="s">
        <v>63</v>
      </c>
    </row>
    <row r="14" spans="1:47" ht="15" customHeight="1" thickTop="1" thickBot="1" x14ac:dyDescent="0.25">
      <c r="A14" s="20" t="s">
        <v>64</v>
      </c>
      <c r="B14" s="21"/>
      <c r="C14" s="22"/>
      <c r="D14" s="23"/>
      <c r="E14" s="23"/>
      <c r="F14" s="23"/>
      <c r="G14" s="23"/>
      <c r="H14" s="23"/>
      <c r="I14" s="24"/>
      <c r="J14" s="24"/>
      <c r="K14" s="24"/>
      <c r="L14" s="25"/>
      <c r="M14" s="23"/>
      <c r="N14" s="23"/>
      <c r="O14" s="23"/>
      <c r="P14" s="23"/>
      <c r="Q14" s="23"/>
      <c r="R14" s="23"/>
      <c r="S14" s="24"/>
      <c r="T14" s="24"/>
      <c r="U14" s="25"/>
      <c r="V14" s="24"/>
      <c r="W14" s="24"/>
      <c r="X14" s="25"/>
      <c r="Y14" s="23"/>
      <c r="Z14" s="23"/>
      <c r="AA14" s="23"/>
      <c r="AB14" s="23"/>
      <c r="AC14" s="23"/>
      <c r="AD14" s="23"/>
      <c r="AE14" s="23"/>
      <c r="AF14" s="23"/>
      <c r="AG14" s="23"/>
      <c r="AH14" s="23"/>
      <c r="AI14" s="23"/>
      <c r="AJ14" s="23"/>
      <c r="AK14" s="23"/>
      <c r="AL14" s="23"/>
      <c r="AM14" s="24"/>
      <c r="AN14" s="24"/>
      <c r="AO14" s="25"/>
      <c r="AP14" s="24"/>
      <c r="AQ14" s="25"/>
      <c r="AR14" s="26"/>
      <c r="AS14" s="26"/>
      <c r="AT14" s="26"/>
      <c r="AU14" s="25"/>
    </row>
    <row r="15" spans="1:47" ht="15" customHeight="1" thickTop="1" thickBot="1" x14ac:dyDescent="0.25">
      <c r="A15" s="60" t="s">
        <v>65</v>
      </c>
      <c r="B15" s="60"/>
      <c r="C15" s="64">
        <f t="shared" ref="C15:AU15" si="0">SUM(C16:C23)</f>
        <v>17</v>
      </c>
      <c r="D15" s="61">
        <f t="shared" si="0"/>
        <v>57570279.381500006</v>
      </c>
      <c r="E15" s="61">
        <f t="shared" si="0"/>
        <v>1438991562.2244</v>
      </c>
      <c r="F15" s="61">
        <f t="shared" si="0"/>
        <v>193965252</v>
      </c>
      <c r="G15" s="61">
        <f t="shared" si="0"/>
        <v>861789837.98459995</v>
      </c>
      <c r="H15" s="61">
        <f t="shared" si="0"/>
        <v>0</v>
      </c>
      <c r="I15" s="61">
        <f t="shared" si="0"/>
        <v>0</v>
      </c>
      <c r="J15" s="61">
        <f t="shared" si="0"/>
        <v>76478029.749403968</v>
      </c>
      <c r="K15" s="61">
        <f t="shared" si="0"/>
        <v>50942454.574742496</v>
      </c>
      <c r="L15" s="61">
        <f t="shared" si="0"/>
        <v>0</v>
      </c>
      <c r="M15" s="61">
        <f t="shared" si="0"/>
        <v>492209025.85709333</v>
      </c>
      <c r="N15" s="61">
        <f t="shared" si="0"/>
        <v>221084439.72303084</v>
      </c>
      <c r="O15" s="61">
        <f t="shared" si="0"/>
        <v>0</v>
      </c>
      <c r="P15" s="61">
        <f t="shared" si="0"/>
        <v>3335460602.1132708</v>
      </c>
      <c r="Q15" s="61">
        <f t="shared" si="0"/>
        <v>0</v>
      </c>
      <c r="R15" s="61">
        <f t="shared" si="0"/>
        <v>0</v>
      </c>
      <c r="S15" s="61">
        <f t="shared" si="0"/>
        <v>0</v>
      </c>
      <c r="T15" s="61">
        <f t="shared" si="0"/>
        <v>0</v>
      </c>
      <c r="U15" s="61">
        <f t="shared" si="0"/>
        <v>0</v>
      </c>
      <c r="V15" s="61">
        <f t="shared" si="0"/>
        <v>3335460602.1132708</v>
      </c>
      <c r="W15" s="61">
        <f t="shared" si="0"/>
        <v>169498070.45432365</v>
      </c>
      <c r="X15" s="61">
        <f t="shared" si="0"/>
        <v>20000000</v>
      </c>
      <c r="Y15" s="61">
        <f t="shared" si="0"/>
        <v>9815045.8047933336</v>
      </c>
      <c r="Z15" s="61">
        <f t="shared" si="0"/>
        <v>199313116.25911695</v>
      </c>
      <c r="AA15" s="61">
        <f t="shared" si="0"/>
        <v>0</v>
      </c>
      <c r="AB15" s="61">
        <f t="shared" si="0"/>
        <v>0</v>
      </c>
      <c r="AC15" s="61">
        <f t="shared" si="0"/>
        <v>0</v>
      </c>
      <c r="AD15" s="61">
        <f t="shared" si="0"/>
        <v>0</v>
      </c>
      <c r="AE15" s="61">
        <f t="shared" si="0"/>
        <v>0</v>
      </c>
      <c r="AF15" s="61">
        <f t="shared" si="0"/>
        <v>199313116.25911695</v>
      </c>
      <c r="AG15" s="61">
        <f t="shared" si="0"/>
        <v>219894356.32283878</v>
      </c>
      <c r="AH15" s="61">
        <f t="shared" si="0"/>
        <v>156015180.68878415</v>
      </c>
      <c r="AI15" s="61">
        <f t="shared" si="0"/>
        <v>152956059.49880794</v>
      </c>
      <c r="AJ15" s="61">
        <f t="shared" si="0"/>
        <v>66557456.3993081</v>
      </c>
      <c r="AK15" s="61">
        <f t="shared" si="0"/>
        <v>9642294.1247600578</v>
      </c>
      <c r="AL15" s="61">
        <f t="shared" si="0"/>
        <v>50414638.195718266</v>
      </c>
      <c r="AM15" s="61">
        <f t="shared" si="0"/>
        <v>9406640.7258360256</v>
      </c>
      <c r="AN15" s="61">
        <f t="shared" si="0"/>
        <v>9406640.7258360256</v>
      </c>
      <c r="AO15" s="61">
        <f t="shared" si="0"/>
        <v>17313357.890260246</v>
      </c>
      <c r="AP15" s="61">
        <f t="shared" si="0"/>
        <v>0</v>
      </c>
      <c r="AQ15" s="62">
        <f t="shared" si="0"/>
        <v>691606624.57214952</v>
      </c>
      <c r="AR15" s="61">
        <f t="shared" si="0"/>
        <v>6254049.2699917294</v>
      </c>
      <c r="AS15" s="61">
        <f t="shared" si="0"/>
        <v>5898708.3585488219</v>
      </c>
      <c r="AT15" s="63">
        <f t="shared" si="0"/>
        <v>12152757.628540549</v>
      </c>
      <c r="AU15" s="62">
        <f t="shared" si="0"/>
        <v>4226380342.9445367</v>
      </c>
    </row>
    <row r="16" spans="1:47" ht="15" customHeight="1" thickTop="1" x14ac:dyDescent="0.2">
      <c r="A16" s="41" t="s">
        <v>66</v>
      </c>
      <c r="B16" s="28"/>
      <c r="C16" s="71">
        <v>1</v>
      </c>
      <c r="D16" s="73">
        <v>5394217.9610000001</v>
      </c>
      <c r="E16" s="30">
        <f t="shared" ref="E16:E23" si="1">D16*C16*12</f>
        <v>64730615.532000005</v>
      </c>
      <c r="F16" s="30">
        <f>9345782*12</f>
        <v>112149384</v>
      </c>
      <c r="G16" s="30">
        <f>((9345782/2+D16+(D16*20%))*12)</f>
        <v>133751430.63839999</v>
      </c>
      <c r="H16" s="30">
        <f>(IF(D16&gt;=1853502,0,66098))*12</f>
        <v>0</v>
      </c>
      <c r="I16" s="30">
        <f>+(IF(D16&lt;(908526*2),106454,0)*12)</f>
        <v>0</v>
      </c>
      <c r="J16" s="30">
        <f>+(E16+F16+G16+H16+I16+(K16/12))/24</f>
        <v>12974434.879947118</v>
      </c>
      <c r="K16" s="30">
        <f>+IF(D16&lt;1853502,((D16+(F16/12)+(G16/12))*0.5),((D16+(F16/12)+(G16/12))*0.35))</f>
        <v>9060083.3799699992</v>
      </c>
      <c r="L16" s="30">
        <v>0</v>
      </c>
      <c r="M16" s="30">
        <f>+(((D16+(F16/12)+(G16/12))+J16/12+K16/12+N16/12)*C16)</f>
        <v>28953761.211867515</v>
      </c>
      <c r="N16" s="30">
        <f>+(D16+F16/12+G16/12)/2+J16/12+K16/12</f>
        <v>14779186.112093091</v>
      </c>
      <c r="O16" s="30"/>
      <c r="P16" s="30">
        <f>SUM(E16:O16)</f>
        <v>376398895.75427777</v>
      </c>
      <c r="Q16" s="30"/>
      <c r="R16" s="30"/>
      <c r="S16" s="30"/>
      <c r="T16" s="30"/>
      <c r="U16" s="30">
        <f t="shared" ref="U16:U23" si="2">SUM(Q16:T16)</f>
        <v>0</v>
      </c>
      <c r="V16" s="30">
        <f>P16+U16</f>
        <v>376398895.75427777</v>
      </c>
      <c r="W16" s="30">
        <f>+(((D16+(F16/12)+(G16/12))/2+(J16/12)+(K16/12))*23/30)*C16</f>
        <v>11330709.352604704</v>
      </c>
      <c r="X16" s="30">
        <v>20000000</v>
      </c>
      <c r="Y16" s="30">
        <f>+((D16+F16/12+G16/12)/30)*2</f>
        <v>1725730.1676133333</v>
      </c>
      <c r="Z16" s="30">
        <f t="shared" ref="Z16:Z23" si="3">SUM(W16:Y16)</f>
        <v>33056439.520218037</v>
      </c>
      <c r="AA16" s="30"/>
      <c r="AB16" s="30"/>
      <c r="AC16" s="30"/>
      <c r="AD16" s="30"/>
      <c r="AE16" s="30">
        <f t="shared" ref="AE16:AE23" si="4">SUM(AA16:AD16)</f>
        <v>0</v>
      </c>
      <c r="AF16" s="30">
        <f>Z16+AE16</f>
        <v>33056439.520218037</v>
      </c>
      <c r="AG16" s="30">
        <f>+(E16+F16+G16+H16+I16+K16/12)*0.12</f>
        <v>37366372.454247698</v>
      </c>
      <c r="AH16" s="30">
        <f>+(E16+F16+G16+H16+I16+K16/12)*0.085</f>
        <v>26467847.155092124</v>
      </c>
      <c r="AI16" s="30">
        <f>(E16+F16+G16+H16+I16+K16/12)/12</f>
        <v>25948869.759894237</v>
      </c>
      <c r="AJ16" s="31">
        <f>+((D16*0.0462528468870403)*C16)*12</f>
        <v>2993975.2491054689</v>
      </c>
      <c r="AK16" s="31">
        <f>+((D16*0.00670073013482786)*C16)*12</f>
        <v>433742.38614122872</v>
      </c>
      <c r="AL16" s="30">
        <f>+(((D16*0.0350347003548701)*C16)*12)</f>
        <v>2267817.7189499205</v>
      </c>
      <c r="AM16" s="31">
        <f>+(((D16*0.00653696725733068)*C16)*12)</f>
        <v>423141.91427954473</v>
      </c>
      <c r="AN16" s="31">
        <f>+(((D16*0.00653696725733068)*C16)*12)</f>
        <v>423141.91427954473</v>
      </c>
      <c r="AO16" s="30">
        <f>+(((D16*0.0120315909729847)*C16)*12)</f>
        <v>778812.2895105544</v>
      </c>
      <c r="AP16" s="30">
        <v>0</v>
      </c>
      <c r="AQ16" s="32">
        <f t="shared" ref="AQ16:AQ23" si="5">SUM(AG16:AP16)</f>
        <v>97103720.841500312</v>
      </c>
      <c r="AR16" s="31">
        <f>+(((D16*0.00434613338546905)*C16)*12)</f>
        <v>281327.88922558667</v>
      </c>
      <c r="AS16" s="31">
        <f>+((D16*0.00409919593234485)*C16)*12</f>
        <v>265343.47588695277</v>
      </c>
      <c r="AT16" s="31">
        <f>SUM(AR16:AS16)</f>
        <v>546671.36511253938</v>
      </c>
      <c r="AU16" s="33">
        <f t="shared" ref="AU16:AU23" si="6">V16+AF16+AQ16</f>
        <v>506559056.11599612</v>
      </c>
    </row>
    <row r="17" spans="1:47" ht="15" customHeight="1" x14ac:dyDescent="0.2">
      <c r="A17" s="41" t="s">
        <v>103</v>
      </c>
      <c r="B17" s="28"/>
      <c r="C17" s="70">
        <v>1</v>
      </c>
      <c r="D17" s="31">
        <v>3935221.7625000002</v>
      </c>
      <c r="E17" s="30">
        <f t="shared" si="1"/>
        <v>47222661.150000006</v>
      </c>
      <c r="F17" s="30">
        <f>6817989*12</f>
        <v>81815868</v>
      </c>
      <c r="G17" s="30">
        <f>((6817989+D17)/2)*12</f>
        <v>64519264.574999996</v>
      </c>
      <c r="H17" s="30">
        <f t="shared" ref="H17:H51" si="7">(IF(D17&gt;=1853502,0,66098))*12</f>
        <v>0</v>
      </c>
      <c r="I17" s="30">
        <f t="shared" ref="I17:I80" si="8">+(IF(D17&lt;(908526*2),106454,0)*12)</f>
        <v>0</v>
      </c>
      <c r="J17" s="30">
        <f>+(E17+F17+G17+H17+I17+(K17/12))/24</f>
        <v>8084510.2789941402</v>
      </c>
      <c r="K17" s="30">
        <f t="shared" ref="K17:K26" si="9">+IF(D17&lt;1853502,((D17+(F17/12)+(G17/12))*0.5),((D17+(F17/12)+(G17/12))*0.35))</f>
        <v>5645435.6503124991</v>
      </c>
      <c r="L17" s="30">
        <v>0</v>
      </c>
      <c r="M17" s="30">
        <f t="shared" ref="M17:M22" si="10">+(((D17+(F17/12)+(G17/12))+J17/12+K17/12+N17/12)*C17)</f>
        <v>18041400.823913097</v>
      </c>
      <c r="N17" s="30">
        <f>+(D17+F17/12+G17/12)/2+J17/12+K17/12</f>
        <v>9209070.2326505519</v>
      </c>
      <c r="O17" s="30"/>
      <c r="P17" s="30">
        <f t="shared" ref="P17:P80" si="11">SUM(E17:O17)</f>
        <v>234538210.7108703</v>
      </c>
      <c r="Q17" s="30"/>
      <c r="R17" s="30"/>
      <c r="S17" s="30"/>
      <c r="T17" s="30"/>
      <c r="U17" s="30">
        <f t="shared" si="2"/>
        <v>0</v>
      </c>
      <c r="V17" s="30">
        <f t="shared" ref="V17:V23" si="12">P17+U17</f>
        <v>234538210.7108703</v>
      </c>
      <c r="W17" s="30">
        <f t="shared" ref="W17:W28" si="13">+(((D17+(F17/12)+(G17/12))/2+(J17/12)+(K17/12))*23/30)*C17</f>
        <v>7060287.1783654233</v>
      </c>
      <c r="X17" s="30">
        <v>0</v>
      </c>
      <c r="Y17" s="30">
        <f>+((D17+F17/12)/30)*2</f>
        <v>716880.71749999991</v>
      </c>
      <c r="Z17" s="30">
        <f t="shared" si="3"/>
        <v>7777167.8958654236</v>
      </c>
      <c r="AA17" s="30"/>
      <c r="AB17" s="30"/>
      <c r="AC17" s="30"/>
      <c r="AD17" s="30"/>
      <c r="AE17" s="30">
        <f t="shared" si="4"/>
        <v>0</v>
      </c>
      <c r="AF17" s="30">
        <f t="shared" ref="AF17:AF23" si="14">Z17+AE17</f>
        <v>7777167.8958654236</v>
      </c>
      <c r="AG17" s="30">
        <f>+(E17+F17+G17+H17+I17+K17/12)*0.12</f>
        <v>23283389.603503123</v>
      </c>
      <c r="AH17" s="30">
        <f>+(E17+F17+G17+H17+I17+K17/12)*0.085</f>
        <v>16492400.969148047</v>
      </c>
      <c r="AI17" s="30">
        <f t="shared" ref="AI17" si="15">(E17+F17+G17+H17+I17+K17/12)/12</f>
        <v>16169020.55798828</v>
      </c>
      <c r="AJ17" s="31">
        <f t="shared" ref="AJ17:AJ80" si="16">+((D17*0.0462528468870403)*C17)*12</f>
        <v>2184182.5157695366</v>
      </c>
      <c r="AK17" s="31">
        <f t="shared" ref="AK17:AK80" si="17">+((D17*0.00670073013482786)*C17)*12</f>
        <v>316426.30861456989</v>
      </c>
      <c r="AL17" s="30">
        <f t="shared" ref="AL17:AL80" si="18">+(((D17*0.0350347003548701)*C17)*12)</f>
        <v>1654431.7833498158</v>
      </c>
      <c r="AM17" s="31">
        <f t="shared" ref="AM17:AM80" si="19">+(((D17*0.00653696725733068)*C17)*12)</f>
        <v>308692.98974157154</v>
      </c>
      <c r="AN17" s="31">
        <f t="shared" ref="AN17:AN80" si="20">+(((D17*0.00653696725733068)*C17)*12)</f>
        <v>308692.98974157154</v>
      </c>
      <c r="AO17" s="30">
        <f t="shared" ref="AO17:AO80" si="21">+(((D17*0.0120315909729847)*C17)*12)</f>
        <v>568163.74361265521</v>
      </c>
      <c r="AP17" s="30">
        <v>0</v>
      </c>
      <c r="AQ17" s="32">
        <f t="shared" si="5"/>
        <v>61285401.461469166</v>
      </c>
      <c r="AR17" s="31">
        <f t="shared" ref="AR17:AR80" si="22">+(((D17*0.00434613338546905)*C17)*12)</f>
        <v>205235.98417470732</v>
      </c>
      <c r="AS17" s="31">
        <f t="shared" ref="AS17:AS80" si="23">+((D17*0.00409919593234485)*C17)*12</f>
        <v>193574.94050057916</v>
      </c>
      <c r="AT17" s="31">
        <f t="shared" ref="AT17:AT23" si="24">SUM(AR17:AS17)</f>
        <v>398810.92467528651</v>
      </c>
      <c r="AU17" s="33">
        <f t="shared" si="6"/>
        <v>303600780.06820488</v>
      </c>
    </row>
    <row r="18" spans="1:47" ht="15" customHeight="1" x14ac:dyDescent="0.2">
      <c r="A18" s="41" t="s">
        <v>67</v>
      </c>
      <c r="B18" s="35">
        <v>22</v>
      </c>
      <c r="C18" s="70">
        <v>1</v>
      </c>
      <c r="D18" s="31">
        <v>9952422.9991999995</v>
      </c>
      <c r="E18" s="30">
        <f t="shared" si="1"/>
        <v>119429075.99039999</v>
      </c>
      <c r="F18" s="30">
        <v>0</v>
      </c>
      <c r="G18" s="30">
        <f>+(D18*50%)*C18*12</f>
        <v>59714537.995199993</v>
      </c>
      <c r="H18" s="30">
        <f t="shared" si="7"/>
        <v>0</v>
      </c>
      <c r="I18" s="30">
        <f t="shared" si="8"/>
        <v>0</v>
      </c>
      <c r="J18" s="30">
        <f>+(E18+H18+I18+(K18/12))/24</f>
        <v>4994353.9373589577</v>
      </c>
      <c r="K18" s="30">
        <f t="shared" si="9"/>
        <v>5225022.0745799989</v>
      </c>
      <c r="L18" s="30">
        <v>0</v>
      </c>
      <c r="M18" s="30">
        <f>+(((D18+(F18/12)+(G18/12))+J18/12+K18/12+N18/12)*C18)</f>
        <v>16473243.492883377</v>
      </c>
      <c r="N18" s="30">
        <f>+(D18+F18/12+G18/12)/2+J18/12+K18/12</f>
        <v>8315931.9170615785</v>
      </c>
      <c r="O18" s="30"/>
      <c r="P18" s="30">
        <f t="shared" si="11"/>
        <v>214152165.40748388</v>
      </c>
      <c r="Q18" s="30"/>
      <c r="R18" s="30"/>
      <c r="S18" s="30"/>
      <c r="T18" s="30"/>
      <c r="U18" s="30">
        <f t="shared" si="2"/>
        <v>0</v>
      </c>
      <c r="V18" s="30">
        <f t="shared" si="12"/>
        <v>214152165.40748388</v>
      </c>
      <c r="W18" s="30">
        <f t="shared" si="13"/>
        <v>6375547.8030805439</v>
      </c>
      <c r="X18" s="30">
        <v>0</v>
      </c>
      <c r="Y18" s="30">
        <f>+((D18)/30)*2</f>
        <v>663494.86661333335</v>
      </c>
      <c r="Z18" s="30">
        <f t="shared" si="3"/>
        <v>7039042.669693877</v>
      </c>
      <c r="AA18" s="30"/>
      <c r="AB18" s="30"/>
      <c r="AC18" s="30"/>
      <c r="AD18" s="30"/>
      <c r="AE18" s="30">
        <f t="shared" si="4"/>
        <v>0</v>
      </c>
      <c r="AF18" s="30">
        <f t="shared" si="14"/>
        <v>7039042.669693877</v>
      </c>
      <c r="AG18" s="30">
        <f>+(((D18+H18/12)*12%)*12)*C18</f>
        <v>14331489.118848</v>
      </c>
      <c r="AH18" s="30">
        <f>+(E18+H18+I18+K18/12)*0.085</f>
        <v>10188482.032212276</v>
      </c>
      <c r="AI18" s="30">
        <f>(E18+H18+I18+K18/12)/12</f>
        <v>9988707.8747179154</v>
      </c>
      <c r="AJ18" s="31">
        <f t="shared" si="16"/>
        <v>5523934.7656446714</v>
      </c>
      <c r="AK18" s="31">
        <f t="shared" si="17"/>
        <v>800262.00846351963</v>
      </c>
      <c r="AL18" s="30">
        <f t="shared" si="18"/>
        <v>4184161.8909826754</v>
      </c>
      <c r="AM18" s="31">
        <f t="shared" si="19"/>
        <v>780703.95932250237</v>
      </c>
      <c r="AN18" s="31">
        <f t="shared" si="20"/>
        <v>780703.95932250237</v>
      </c>
      <c r="AO18" s="30">
        <f t="shared" si="21"/>
        <v>1436921.7925980003</v>
      </c>
      <c r="AP18" s="30">
        <v>0</v>
      </c>
      <c r="AQ18" s="32">
        <f t="shared" si="5"/>
        <v>48015367.402112059</v>
      </c>
      <c r="AR18" s="31">
        <f t="shared" si="22"/>
        <v>519054.69435759756</v>
      </c>
      <c r="AS18" s="31">
        <f t="shared" si="23"/>
        <v>489563.18250355159</v>
      </c>
      <c r="AT18" s="31">
        <f t="shared" si="24"/>
        <v>1008617.8768611492</v>
      </c>
      <c r="AU18" s="33">
        <f t="shared" si="6"/>
        <v>269206575.47928983</v>
      </c>
    </row>
    <row r="19" spans="1:47" ht="15" customHeight="1" x14ac:dyDescent="0.2">
      <c r="A19" s="41" t="s">
        <v>68</v>
      </c>
      <c r="B19" s="35">
        <v>13</v>
      </c>
      <c r="C19" s="70">
        <v>6</v>
      </c>
      <c r="D19" s="31">
        <v>6014316.8695999999</v>
      </c>
      <c r="E19" s="30">
        <f t="shared" si="1"/>
        <v>433030814.61120003</v>
      </c>
      <c r="F19" s="30">
        <v>0</v>
      </c>
      <c r="G19" s="30">
        <f t="shared" ref="G19:G22" si="25">+(D19*50%)*C19*12</f>
        <v>216515407.30560002</v>
      </c>
      <c r="H19" s="30">
        <f t="shared" si="7"/>
        <v>0</v>
      </c>
      <c r="I19" s="30">
        <f t="shared" si="8"/>
        <v>0</v>
      </c>
      <c r="J19" s="30">
        <f t="shared" ref="J19:J82" si="26">+(E19+H19+I19+(K19/12))/24</f>
        <v>18072186.871360559</v>
      </c>
      <c r="K19" s="30">
        <f t="shared" si="9"/>
        <v>8420043.6174400002</v>
      </c>
      <c r="L19" s="30">
        <v>0</v>
      </c>
      <c r="M19" s="30">
        <f>+(((D19+(F19/12)+(G19/12))+J19/12+K19/12+N19/12)*C19)</f>
        <v>200298678.95460042</v>
      </c>
      <c r="N19" s="30">
        <f t="shared" ref="N19:N28" si="27">+(((D19+(F19/12)+(G19/12))/2+J19/12+K19/12)*C19)</f>
        <v>85417917.679600284</v>
      </c>
      <c r="O19" s="30"/>
      <c r="P19" s="30">
        <f t="shared" si="11"/>
        <v>961755049.03980124</v>
      </c>
      <c r="Q19" s="30"/>
      <c r="R19" s="30"/>
      <c r="S19" s="30"/>
      <c r="T19" s="30"/>
      <c r="U19" s="30">
        <f t="shared" si="2"/>
        <v>0</v>
      </c>
      <c r="V19" s="30">
        <f t="shared" si="12"/>
        <v>961755049.03980124</v>
      </c>
      <c r="W19" s="30">
        <f t="shared" si="13"/>
        <v>65487070.221026883</v>
      </c>
      <c r="X19" s="30">
        <v>0</v>
      </c>
      <c r="Y19" s="30">
        <f>+(((D19)/30)*2)*C19</f>
        <v>2405726.7478399999</v>
      </c>
      <c r="Z19" s="30">
        <f t="shared" si="3"/>
        <v>67892796.968866885</v>
      </c>
      <c r="AA19" s="30"/>
      <c r="AB19" s="30"/>
      <c r="AC19" s="30"/>
      <c r="AD19" s="30"/>
      <c r="AE19" s="30">
        <f t="shared" si="4"/>
        <v>0</v>
      </c>
      <c r="AF19" s="30">
        <f t="shared" si="14"/>
        <v>67892796.968866885</v>
      </c>
      <c r="AG19" s="30">
        <f t="shared" ref="AG19:AG82" si="28">+(((D19+H19/12)*12%)*12)*C19</f>
        <v>51963697.753343999</v>
      </c>
      <c r="AH19" s="30">
        <f t="shared" ref="AH19:AH82" si="29">+(E19+H19+I19+K19/12)*0.085</f>
        <v>36867261.217575543</v>
      </c>
      <c r="AI19" s="30">
        <f t="shared" ref="AI19:AI82" si="30">(E19+H19+I19+K19/12)/12</f>
        <v>36144373.742721118</v>
      </c>
      <c r="AJ19" s="31">
        <f t="shared" si="16"/>
        <v>20028907.96558217</v>
      </c>
      <c r="AK19" s="31">
        <f t="shared" si="17"/>
        <v>2901622.6287743244</v>
      </c>
      <c r="AL19" s="30">
        <f t="shared" si="18"/>
        <v>15171104.834328696</v>
      </c>
      <c r="AM19" s="31">
        <f t="shared" si="19"/>
        <v>2830708.2565286458</v>
      </c>
      <c r="AN19" s="31">
        <f t="shared" si="20"/>
        <v>2830708.2565286458</v>
      </c>
      <c r="AO19" s="30">
        <f t="shared" si="21"/>
        <v>5210049.6401003255</v>
      </c>
      <c r="AP19" s="30">
        <v>0</v>
      </c>
      <c r="AQ19" s="32">
        <f t="shared" si="5"/>
        <v>173948434.29548344</v>
      </c>
      <c r="AR19" s="31">
        <f t="shared" si="22"/>
        <v>1882009.6803185954</v>
      </c>
      <c r="AS19" s="31">
        <f t="shared" si="23"/>
        <v>1775078.1538342077</v>
      </c>
      <c r="AT19" s="31">
        <f t="shared" si="24"/>
        <v>3657087.8341528028</v>
      </c>
      <c r="AU19" s="33">
        <f t="shared" si="6"/>
        <v>1203596280.3041515</v>
      </c>
    </row>
    <row r="20" spans="1:47" ht="15" customHeight="1" x14ac:dyDescent="0.2">
      <c r="A20" s="41" t="s">
        <v>69</v>
      </c>
      <c r="B20" s="35">
        <v>19</v>
      </c>
      <c r="C20" s="70">
        <v>5</v>
      </c>
      <c r="D20" s="31">
        <v>8068524.9473000001</v>
      </c>
      <c r="E20" s="30">
        <f t="shared" si="1"/>
        <v>484111496.83800006</v>
      </c>
      <c r="F20" s="30">
        <v>0</v>
      </c>
      <c r="G20" s="30">
        <f t="shared" si="25"/>
        <v>242055748.41900003</v>
      </c>
      <c r="H20" s="30">
        <f t="shared" si="7"/>
        <v>0</v>
      </c>
      <c r="I20" s="30">
        <f t="shared" si="8"/>
        <v>0</v>
      </c>
      <c r="J20" s="30">
        <f t="shared" si="26"/>
        <v>20205631.614987649</v>
      </c>
      <c r="K20" s="30">
        <f t="shared" si="9"/>
        <v>9883943.0604424998</v>
      </c>
      <c r="L20" s="30">
        <v>0</v>
      </c>
      <c r="M20" s="30">
        <f t="shared" si="10"/>
        <v>188376891.0551393</v>
      </c>
      <c r="N20" s="30">
        <f t="shared" si="27"/>
        <v>83136916.07030423</v>
      </c>
      <c r="O20" s="30"/>
      <c r="P20" s="30">
        <f t="shared" si="11"/>
        <v>1027770627.0578737</v>
      </c>
      <c r="Q20" s="30"/>
      <c r="R20" s="30"/>
      <c r="S20" s="30"/>
      <c r="T20" s="30"/>
      <c r="U20" s="30">
        <f t="shared" si="2"/>
        <v>0</v>
      </c>
      <c r="V20" s="30">
        <f t="shared" si="12"/>
        <v>1027770627.0578737</v>
      </c>
      <c r="W20" s="30">
        <f t="shared" si="13"/>
        <v>63738302.32056658</v>
      </c>
      <c r="X20" s="30">
        <v>0</v>
      </c>
      <c r="Y20" s="30">
        <f t="shared" ref="Y20:Y23" si="31">+(((D20)/30)*2)*C20</f>
        <v>2689508.315766667</v>
      </c>
      <c r="Z20" s="30">
        <f t="shared" si="3"/>
        <v>66427810.63633325</v>
      </c>
      <c r="AA20" s="30"/>
      <c r="AB20" s="30"/>
      <c r="AC20" s="30"/>
      <c r="AD20" s="30"/>
      <c r="AE20" s="30">
        <f t="shared" si="4"/>
        <v>0</v>
      </c>
      <c r="AF20" s="30">
        <f t="shared" si="14"/>
        <v>66427810.63633325</v>
      </c>
      <c r="AG20" s="30">
        <f t="shared" si="28"/>
        <v>58093379.620559998</v>
      </c>
      <c r="AH20" s="30">
        <f t="shared" si="29"/>
        <v>41219488.494574808</v>
      </c>
      <c r="AI20" s="30">
        <f t="shared" si="30"/>
        <v>40411263.229975298</v>
      </c>
      <c r="AJ20" s="31">
        <f t="shared" si="16"/>
        <v>22391534.939503908</v>
      </c>
      <c r="AK20" s="31">
        <f t="shared" si="17"/>
        <v>3243900.4954790091</v>
      </c>
      <c r="AL20" s="30">
        <f t="shared" si="18"/>
        <v>16960701.230066974</v>
      </c>
      <c r="AM20" s="31">
        <f t="shared" si="19"/>
        <v>3164621.0037273508</v>
      </c>
      <c r="AN20" s="31">
        <f t="shared" si="20"/>
        <v>3164621.0037273508</v>
      </c>
      <c r="AO20" s="30">
        <f t="shared" si="21"/>
        <v>5824631.5152741913</v>
      </c>
      <c r="AP20" s="30">
        <v>0</v>
      </c>
      <c r="AQ20" s="32">
        <f t="shared" si="5"/>
        <v>194474141.53288892</v>
      </c>
      <c r="AR20" s="31">
        <f t="shared" si="22"/>
        <v>2104013.1386970263</v>
      </c>
      <c r="AS20" s="31">
        <f t="shared" si="23"/>
        <v>1984467.8786397062</v>
      </c>
      <c r="AT20" s="31">
        <f t="shared" si="24"/>
        <v>4088481.0173367327</v>
      </c>
      <c r="AU20" s="33">
        <f t="shared" si="6"/>
        <v>1288672579.2270958</v>
      </c>
    </row>
    <row r="21" spans="1:47" ht="15" customHeight="1" x14ac:dyDescent="0.2">
      <c r="A21" s="41" t="s">
        <v>70</v>
      </c>
      <c r="B21" s="35">
        <v>19</v>
      </c>
      <c r="C21" s="70">
        <v>1</v>
      </c>
      <c r="D21" s="31">
        <v>8068524.9473000001</v>
      </c>
      <c r="E21" s="30">
        <f t="shared" si="1"/>
        <v>96822299.367599994</v>
      </c>
      <c r="F21" s="30">
        <v>0</v>
      </c>
      <c r="G21" s="30">
        <f t="shared" si="25"/>
        <v>48411149.683799997</v>
      </c>
      <c r="H21" s="30">
        <f t="shared" si="7"/>
        <v>0</v>
      </c>
      <c r="I21" s="30">
        <f t="shared" si="8"/>
        <v>0</v>
      </c>
      <c r="J21" s="30">
        <f t="shared" si="26"/>
        <v>4048970.7222518488</v>
      </c>
      <c r="K21" s="30">
        <f t="shared" si="9"/>
        <v>4235975.5973324999</v>
      </c>
      <c r="L21" s="30">
        <v>0</v>
      </c>
      <c r="M21" s="30">
        <f t="shared" si="10"/>
        <v>13355016.772896502</v>
      </c>
      <c r="N21" s="30">
        <f t="shared" si="27"/>
        <v>6741805.9037736952</v>
      </c>
      <c r="O21" s="30"/>
      <c r="P21" s="30">
        <f t="shared" si="11"/>
        <v>173615218.04765457</v>
      </c>
      <c r="Q21" s="30"/>
      <c r="R21" s="30"/>
      <c r="S21" s="30"/>
      <c r="T21" s="30"/>
      <c r="U21" s="30">
        <f t="shared" si="2"/>
        <v>0</v>
      </c>
      <c r="V21" s="30">
        <f t="shared" si="12"/>
        <v>173615218.04765457</v>
      </c>
      <c r="W21" s="30">
        <f t="shared" si="13"/>
        <v>5168717.8595598331</v>
      </c>
      <c r="X21" s="30">
        <v>0</v>
      </c>
      <c r="Y21" s="30">
        <f t="shared" si="31"/>
        <v>537901.66315333336</v>
      </c>
      <c r="Z21" s="30">
        <f t="shared" si="3"/>
        <v>5706619.5227131667</v>
      </c>
      <c r="AA21" s="30"/>
      <c r="AB21" s="30"/>
      <c r="AC21" s="30"/>
      <c r="AD21" s="30"/>
      <c r="AE21" s="30">
        <f t="shared" si="4"/>
        <v>0</v>
      </c>
      <c r="AF21" s="30">
        <f t="shared" si="14"/>
        <v>5706619.5227131667</v>
      </c>
      <c r="AG21" s="30">
        <f t="shared" si="28"/>
        <v>11618675.924112</v>
      </c>
      <c r="AH21" s="30">
        <f t="shared" si="29"/>
        <v>8259900.2733937716</v>
      </c>
      <c r="AI21" s="30">
        <f t="shared" si="30"/>
        <v>8097941.4445036976</v>
      </c>
      <c r="AJ21" s="31">
        <f t="shared" si="16"/>
        <v>4478306.9879007824</v>
      </c>
      <c r="AK21" s="31">
        <f t="shared" si="17"/>
        <v>648780.09909580182</v>
      </c>
      <c r="AL21" s="30">
        <f t="shared" si="18"/>
        <v>3392140.2460133946</v>
      </c>
      <c r="AM21" s="31">
        <f t="shared" si="19"/>
        <v>632924.20074547012</v>
      </c>
      <c r="AN21" s="31">
        <f t="shared" si="20"/>
        <v>632924.20074547012</v>
      </c>
      <c r="AO21" s="30">
        <f t="shared" si="21"/>
        <v>1164926.3030548384</v>
      </c>
      <c r="AP21" s="30">
        <v>0</v>
      </c>
      <c r="AQ21" s="32">
        <f t="shared" si="5"/>
        <v>38926519.679565229</v>
      </c>
      <c r="AR21" s="31">
        <f t="shared" si="22"/>
        <v>420802.62773940526</v>
      </c>
      <c r="AS21" s="31">
        <f t="shared" si="23"/>
        <v>396893.57572794124</v>
      </c>
      <c r="AT21" s="31">
        <f t="shared" si="24"/>
        <v>817696.2034673465</v>
      </c>
      <c r="AU21" s="33">
        <f t="shared" si="6"/>
        <v>218248357.24993294</v>
      </c>
    </row>
    <row r="22" spans="1:47" ht="15" customHeight="1" x14ac:dyDescent="0.2">
      <c r="A22" s="41" t="s">
        <v>71</v>
      </c>
      <c r="B22" s="35">
        <v>19</v>
      </c>
      <c r="C22" s="70">
        <v>1</v>
      </c>
      <c r="D22" s="31">
        <v>8068524.9473000001</v>
      </c>
      <c r="E22" s="30">
        <f t="shared" si="1"/>
        <v>96822299.367599994</v>
      </c>
      <c r="F22" s="30">
        <v>0</v>
      </c>
      <c r="G22" s="30">
        <f t="shared" si="25"/>
        <v>48411149.683799997</v>
      </c>
      <c r="H22" s="30">
        <f t="shared" si="7"/>
        <v>0</v>
      </c>
      <c r="I22" s="30">
        <f t="shared" si="8"/>
        <v>0</v>
      </c>
      <c r="J22" s="30">
        <f t="shared" si="26"/>
        <v>4048970.7222518488</v>
      </c>
      <c r="K22" s="30">
        <f t="shared" si="9"/>
        <v>4235975.5973324999</v>
      </c>
      <c r="L22" s="30">
        <v>0</v>
      </c>
      <c r="M22" s="30">
        <f t="shared" si="10"/>
        <v>13355016.772896502</v>
      </c>
      <c r="N22" s="30">
        <f t="shared" si="27"/>
        <v>6741805.9037736952</v>
      </c>
      <c r="O22" s="30"/>
      <c r="P22" s="30">
        <f t="shared" si="11"/>
        <v>173615218.04765457</v>
      </c>
      <c r="Q22" s="30"/>
      <c r="R22" s="30"/>
      <c r="S22" s="30"/>
      <c r="T22" s="30"/>
      <c r="U22" s="30">
        <f t="shared" si="2"/>
        <v>0</v>
      </c>
      <c r="V22" s="30">
        <f t="shared" si="12"/>
        <v>173615218.04765457</v>
      </c>
      <c r="W22" s="30">
        <f t="shared" si="13"/>
        <v>5168717.8595598331</v>
      </c>
      <c r="X22" s="30">
        <v>0</v>
      </c>
      <c r="Y22" s="30">
        <f t="shared" si="31"/>
        <v>537901.66315333336</v>
      </c>
      <c r="Z22" s="30">
        <f t="shared" si="3"/>
        <v>5706619.5227131667</v>
      </c>
      <c r="AA22" s="30"/>
      <c r="AB22" s="30"/>
      <c r="AC22" s="30"/>
      <c r="AD22" s="30"/>
      <c r="AE22" s="30">
        <f t="shared" si="4"/>
        <v>0</v>
      </c>
      <c r="AF22" s="30">
        <f t="shared" si="14"/>
        <v>5706619.5227131667</v>
      </c>
      <c r="AG22" s="30">
        <f t="shared" si="28"/>
        <v>11618675.924112</v>
      </c>
      <c r="AH22" s="30">
        <f t="shared" si="29"/>
        <v>8259900.2733937716</v>
      </c>
      <c r="AI22" s="30">
        <f t="shared" si="30"/>
        <v>8097941.4445036976</v>
      </c>
      <c r="AJ22" s="31">
        <f t="shared" si="16"/>
        <v>4478306.9879007824</v>
      </c>
      <c r="AK22" s="31">
        <f t="shared" si="17"/>
        <v>648780.09909580182</v>
      </c>
      <c r="AL22" s="30">
        <f t="shared" si="18"/>
        <v>3392140.2460133946</v>
      </c>
      <c r="AM22" s="31">
        <f t="shared" si="19"/>
        <v>632924.20074547012</v>
      </c>
      <c r="AN22" s="31">
        <f t="shared" si="20"/>
        <v>632924.20074547012</v>
      </c>
      <c r="AO22" s="30">
        <f t="shared" si="21"/>
        <v>1164926.3030548384</v>
      </c>
      <c r="AP22" s="30">
        <v>0</v>
      </c>
      <c r="AQ22" s="32">
        <f t="shared" si="5"/>
        <v>38926519.679565229</v>
      </c>
      <c r="AR22" s="31">
        <f t="shared" si="22"/>
        <v>420802.62773940526</v>
      </c>
      <c r="AS22" s="31">
        <f t="shared" si="23"/>
        <v>396893.57572794124</v>
      </c>
      <c r="AT22" s="31">
        <f t="shared" si="24"/>
        <v>817696.2034673465</v>
      </c>
      <c r="AU22" s="33">
        <f t="shared" si="6"/>
        <v>218248357.24993294</v>
      </c>
    </row>
    <row r="23" spans="1:47" ht="15" customHeight="1" thickBot="1" x14ac:dyDescent="0.25">
      <c r="A23" s="41" t="s">
        <v>72</v>
      </c>
      <c r="B23" s="35">
        <v>19</v>
      </c>
      <c r="C23" s="72">
        <v>1</v>
      </c>
      <c r="D23" s="66">
        <v>8068524.9473000001</v>
      </c>
      <c r="E23" s="30">
        <f t="shared" si="1"/>
        <v>96822299.367599994</v>
      </c>
      <c r="F23" s="30">
        <v>0</v>
      </c>
      <c r="G23" s="30">
        <f>+(D23*50%)*C23*12</f>
        <v>48411149.683799997</v>
      </c>
      <c r="H23" s="30">
        <f t="shared" si="7"/>
        <v>0</v>
      </c>
      <c r="I23" s="30">
        <f t="shared" si="8"/>
        <v>0</v>
      </c>
      <c r="J23" s="30">
        <f t="shared" si="26"/>
        <v>4048970.7222518488</v>
      </c>
      <c r="K23" s="30">
        <f t="shared" si="9"/>
        <v>4235975.5973324999</v>
      </c>
      <c r="L23" s="30">
        <v>0</v>
      </c>
      <c r="M23" s="30">
        <f>+(((D23+(F23/12)+(G23/12))+J23/12+K23/12+N23/12))</f>
        <v>13355016.772896502</v>
      </c>
      <c r="N23" s="30">
        <f t="shared" si="27"/>
        <v>6741805.9037736952</v>
      </c>
      <c r="O23" s="30"/>
      <c r="P23" s="30">
        <f t="shared" si="11"/>
        <v>173615218.04765457</v>
      </c>
      <c r="Q23" s="30"/>
      <c r="R23" s="30"/>
      <c r="S23" s="30"/>
      <c r="T23" s="30"/>
      <c r="U23" s="30">
        <f t="shared" si="2"/>
        <v>0</v>
      </c>
      <c r="V23" s="30">
        <f t="shared" si="12"/>
        <v>173615218.04765457</v>
      </c>
      <c r="W23" s="30">
        <f t="shared" si="13"/>
        <v>5168717.8595598331</v>
      </c>
      <c r="X23" s="30">
        <v>0</v>
      </c>
      <c r="Y23" s="30">
        <f t="shared" si="31"/>
        <v>537901.66315333336</v>
      </c>
      <c r="Z23" s="30">
        <f t="shared" si="3"/>
        <v>5706619.5227131667</v>
      </c>
      <c r="AA23" s="30"/>
      <c r="AB23" s="30"/>
      <c r="AC23" s="30"/>
      <c r="AD23" s="30"/>
      <c r="AE23" s="30">
        <f t="shared" si="4"/>
        <v>0</v>
      </c>
      <c r="AF23" s="30">
        <f t="shared" si="14"/>
        <v>5706619.5227131667</v>
      </c>
      <c r="AG23" s="30">
        <f t="shared" si="28"/>
        <v>11618675.924112</v>
      </c>
      <c r="AH23" s="30">
        <f t="shared" si="29"/>
        <v>8259900.2733937716</v>
      </c>
      <c r="AI23" s="30">
        <f t="shared" si="30"/>
        <v>8097941.4445036976</v>
      </c>
      <c r="AJ23" s="31">
        <f t="shared" si="16"/>
        <v>4478306.9879007824</v>
      </c>
      <c r="AK23" s="31">
        <f t="shared" si="17"/>
        <v>648780.09909580182</v>
      </c>
      <c r="AL23" s="30">
        <f t="shared" si="18"/>
        <v>3392140.2460133946</v>
      </c>
      <c r="AM23" s="31">
        <f t="shared" si="19"/>
        <v>632924.20074547012</v>
      </c>
      <c r="AN23" s="31">
        <f t="shared" si="20"/>
        <v>632924.20074547012</v>
      </c>
      <c r="AO23" s="30">
        <f t="shared" si="21"/>
        <v>1164926.3030548384</v>
      </c>
      <c r="AP23" s="30">
        <v>0</v>
      </c>
      <c r="AQ23" s="32">
        <f t="shared" si="5"/>
        <v>38926519.679565229</v>
      </c>
      <c r="AR23" s="31">
        <f t="shared" si="22"/>
        <v>420802.62773940526</v>
      </c>
      <c r="AS23" s="31">
        <f t="shared" si="23"/>
        <v>396893.57572794124</v>
      </c>
      <c r="AT23" s="31">
        <f t="shared" si="24"/>
        <v>817696.2034673465</v>
      </c>
      <c r="AU23" s="33">
        <f t="shared" si="6"/>
        <v>218248357.24993294</v>
      </c>
    </row>
    <row r="24" spans="1:47" ht="15" customHeight="1" thickTop="1" thickBot="1" x14ac:dyDescent="0.25">
      <c r="A24" s="27" t="s">
        <v>73</v>
      </c>
      <c r="B24" s="39"/>
      <c r="C24" s="64">
        <f t="shared" ref="C24:AU24" si="32">SUM(C25:C28)</f>
        <v>39</v>
      </c>
      <c r="D24" s="61">
        <v>8068524.9473000001</v>
      </c>
      <c r="E24" s="61">
        <f t="shared" si="32"/>
        <v>3246113009.7504001</v>
      </c>
      <c r="F24" s="61">
        <f t="shared" si="32"/>
        <v>0</v>
      </c>
      <c r="G24" s="61">
        <f t="shared" si="32"/>
        <v>1080889678.6356001</v>
      </c>
      <c r="H24" s="61">
        <f t="shared" si="32"/>
        <v>0</v>
      </c>
      <c r="I24" s="61">
        <f t="shared" si="32"/>
        <v>0</v>
      </c>
      <c r="J24" s="61">
        <f t="shared" si="32"/>
        <v>137499153.39565548</v>
      </c>
      <c r="K24" s="61">
        <f t="shared" si="32"/>
        <v>646400060.94397998</v>
      </c>
      <c r="L24" s="61">
        <f t="shared" si="32"/>
        <v>0</v>
      </c>
      <c r="M24" s="61">
        <f t="shared" si="32"/>
        <v>541055859.19295764</v>
      </c>
      <c r="N24" s="61">
        <f t="shared" si="32"/>
        <v>2362483973.7462564</v>
      </c>
      <c r="O24" s="61">
        <f t="shared" si="32"/>
        <v>0</v>
      </c>
      <c r="P24" s="61">
        <f t="shared" si="32"/>
        <v>8014441735.6648493</v>
      </c>
      <c r="Q24" s="61">
        <f t="shared" si="32"/>
        <v>0</v>
      </c>
      <c r="R24" s="61">
        <f t="shared" si="32"/>
        <v>0</v>
      </c>
      <c r="S24" s="61">
        <f t="shared" si="32"/>
        <v>0</v>
      </c>
      <c r="T24" s="61">
        <f t="shared" si="32"/>
        <v>0</v>
      </c>
      <c r="U24" s="61">
        <f t="shared" si="32"/>
        <v>0</v>
      </c>
      <c r="V24" s="61">
        <f t="shared" si="32"/>
        <v>8014441735.6648493</v>
      </c>
      <c r="W24" s="61">
        <f t="shared" si="32"/>
        <v>1811237713.2054632</v>
      </c>
      <c r="X24" s="61">
        <f t="shared" si="32"/>
        <v>20000000</v>
      </c>
      <c r="Y24" s="61">
        <f t="shared" si="32"/>
        <v>18033961.165279999</v>
      </c>
      <c r="Z24" s="61">
        <f t="shared" si="32"/>
        <v>1849271674.3707433</v>
      </c>
      <c r="AA24" s="61">
        <f t="shared" si="32"/>
        <v>0</v>
      </c>
      <c r="AB24" s="61">
        <f t="shared" si="32"/>
        <v>0</v>
      </c>
      <c r="AC24" s="61">
        <f t="shared" si="32"/>
        <v>0</v>
      </c>
      <c r="AD24" s="61">
        <f t="shared" si="32"/>
        <v>0</v>
      </c>
      <c r="AE24" s="61">
        <f t="shared" si="32"/>
        <v>0</v>
      </c>
      <c r="AF24" s="61">
        <f t="shared" si="32"/>
        <v>11808344.765163934</v>
      </c>
      <c r="AG24" s="61">
        <f t="shared" si="32"/>
        <v>389533561.170048</v>
      </c>
      <c r="AH24" s="61">
        <f t="shared" si="32"/>
        <v>280498272.9271372</v>
      </c>
      <c r="AI24" s="61">
        <f t="shared" si="32"/>
        <v>274998306.79131097</v>
      </c>
      <c r="AJ24" s="61">
        <f t="shared" si="32"/>
        <v>150141968.01801482</v>
      </c>
      <c r="AK24" s="61">
        <f t="shared" si="32"/>
        <v>21751327.265491266</v>
      </c>
      <c r="AL24" s="61">
        <f t="shared" si="32"/>
        <v>113726596.61465079</v>
      </c>
      <c r="AM24" s="61">
        <f t="shared" si="32"/>
        <v>21219734.458333511</v>
      </c>
      <c r="AN24" s="61">
        <f t="shared" si="32"/>
        <v>21219734.458333511</v>
      </c>
      <c r="AO24" s="61">
        <f t="shared" si="32"/>
        <v>39055903.985401109</v>
      </c>
      <c r="AP24" s="61">
        <f t="shared" si="32"/>
        <v>0</v>
      </c>
      <c r="AQ24" s="62">
        <f t="shared" si="32"/>
        <v>1312145405.6887212</v>
      </c>
      <c r="AR24" s="61">
        <f t="shared" si="32"/>
        <v>14108040.124681633</v>
      </c>
      <c r="AS24" s="61">
        <f t="shared" si="32"/>
        <v>13306453.245500535</v>
      </c>
      <c r="AT24" s="63">
        <f t="shared" si="32"/>
        <v>27414493.370182171</v>
      </c>
      <c r="AU24" s="62">
        <f t="shared" si="32"/>
        <v>9338395486.1187344</v>
      </c>
    </row>
    <row r="25" spans="1:47" ht="15" customHeight="1" thickTop="1" x14ac:dyDescent="0.2">
      <c r="A25" s="41" t="s">
        <v>74</v>
      </c>
      <c r="B25" s="35">
        <v>13</v>
      </c>
      <c r="C25" s="71">
        <v>1</v>
      </c>
      <c r="D25" s="73">
        <v>8347842.7066000002</v>
      </c>
      <c r="E25" s="30">
        <f t="shared" ref="E25:E28" si="33">D25*C25*12</f>
        <v>100174112.47920001</v>
      </c>
      <c r="F25" s="30">
        <v>0</v>
      </c>
      <c r="G25" s="30">
        <f t="shared" ref="G25:G26" si="34">+(D25*50%)*C25*12</f>
        <v>50087056.239600003</v>
      </c>
      <c r="H25" s="30">
        <f t="shared" si="7"/>
        <v>0</v>
      </c>
      <c r="I25" s="30">
        <f t="shared" si="8"/>
        <v>0</v>
      </c>
      <c r="J25" s="30">
        <f t="shared" ref="J25:J26" si="35">+(E25+H25+I25+(K25/12))/24</f>
        <v>4189138.7749005728</v>
      </c>
      <c r="K25" s="30">
        <f t="shared" si="9"/>
        <v>4382617.4209650001</v>
      </c>
      <c r="L25" s="30">
        <v>0</v>
      </c>
      <c r="M25" s="30">
        <f>+(((D25+(F25/12)+(G25/12))+J25/12+K25/12+N25/12))</f>
        <v>13817343.330078142</v>
      </c>
      <c r="N25" s="30">
        <f t="shared" ref="N25:N26" si="36">+(((D25+(F25/12)+(G25/12))/2+J25/12+K25/12)*C25)</f>
        <v>6975195.0462721316</v>
      </c>
      <c r="O25" s="30"/>
      <c r="P25" s="30">
        <f t="shared" ref="P25:P26" si="37">SUM(E25:O25)</f>
        <v>179625463.29101586</v>
      </c>
      <c r="Q25" s="30"/>
      <c r="R25" s="30"/>
      <c r="S25" s="30"/>
      <c r="T25" s="30"/>
      <c r="U25" s="30">
        <f t="shared" ref="U25:U26" si="38">SUM(Q25:T25)</f>
        <v>0</v>
      </c>
      <c r="V25" s="30">
        <f t="shared" ref="V25:V28" si="39">P25+U25</f>
        <v>179625463.29101586</v>
      </c>
      <c r="W25" s="30">
        <f t="shared" ref="W25:W26" si="40">+(((D25+(F25/12)+(G25/12))/2+(J25/12)+(K25/12))*23/30)*C25</f>
        <v>5347649.5354753006</v>
      </c>
      <c r="X25" s="30">
        <v>0</v>
      </c>
      <c r="Y25" s="30">
        <f t="shared" ref="Y25:Y26" si="41">+(((D25)/30)*2)*C25</f>
        <v>556522.84710666665</v>
      </c>
      <c r="Z25" s="30">
        <f t="shared" ref="Z25:Z26" si="42">SUM(W25:Y25)</f>
        <v>5904172.3825819669</v>
      </c>
      <c r="AA25" s="30"/>
      <c r="AB25" s="30"/>
      <c r="AC25" s="30"/>
      <c r="AD25" s="30"/>
      <c r="AE25" s="30">
        <f t="shared" ref="AE25:AE26" si="43">SUM(AA25:AD25)</f>
        <v>0</v>
      </c>
      <c r="AF25" s="30">
        <f t="shared" ref="AF25:AF26" si="44">Z25+AE25</f>
        <v>5904172.3825819669</v>
      </c>
      <c r="AG25" s="30">
        <f t="shared" ref="AG25:AG26" si="45">+(((D25+H25/12)*12%)*12)*C25</f>
        <v>12020893.497504</v>
      </c>
      <c r="AH25" s="30">
        <f t="shared" ref="AH25:AH26" si="46">+(E25+H25+I25+K25/12)*0.085</f>
        <v>8545843.1007971689</v>
      </c>
      <c r="AI25" s="30">
        <f t="shared" ref="AI25:AI26" si="47">(E25+H25+I25+K25/12)/12</f>
        <v>8378277.5498011457</v>
      </c>
      <c r="AJ25" s="31">
        <f t="shared" ref="AJ25:AJ26" si="48">+((D25*0.0462528468870403)*C25)*12</f>
        <v>4633337.8865455911</v>
      </c>
      <c r="AK25" s="31">
        <f t="shared" ref="AK25:AK26" si="49">+((D25*0.00670073013482786)*C25)*12</f>
        <v>671239.694219011</v>
      </c>
      <c r="AL25" s="30">
        <f t="shared" ref="AL25:AL26" si="50">+(((D25*0.0350347003548701)*C25)*12)</f>
        <v>3509570.014023826</v>
      </c>
      <c r="AM25" s="31">
        <f t="shared" ref="AM25:AM26" si="51">+(((D25*0.00653696725733068)*C25)*12)</f>
        <v>654834.89330869098</v>
      </c>
      <c r="AN25" s="31">
        <f t="shared" ref="AN25:AN26" si="52">+(((D25*0.00653696725733068)*C25)*12)</f>
        <v>654834.89330869098</v>
      </c>
      <c r="AO25" s="30">
        <f t="shared" ref="AO25:AO26" si="53">+(((D25*0.0120315909729847)*C25)*12)</f>
        <v>1205253.9474314968</v>
      </c>
      <c r="AP25" s="30">
        <v>0</v>
      </c>
      <c r="AQ25" s="32">
        <f t="shared" ref="AQ25:AQ26" si="54">SUM(AG25:AP25)</f>
        <v>40274085.476939619</v>
      </c>
      <c r="AR25" s="31">
        <f t="shared" ref="AR25:AR26" si="55">+(((D25*0.00434613338546905)*C25)*12)</f>
        <v>435370.05460558296</v>
      </c>
      <c r="AS25" s="31">
        <f t="shared" ref="AS25:AS26" si="56">+((D25*0.00409919593234485)*C25)*12</f>
        <v>410633.31440099212</v>
      </c>
      <c r="AT25" s="31">
        <f t="shared" ref="AT25:AT26" si="57">SUM(AR25:AS25)</f>
        <v>846003.36900657509</v>
      </c>
      <c r="AU25" s="33">
        <f t="shared" ref="AU25:AU28" si="58">V25+AF25+AQ25</f>
        <v>225803721.15053746</v>
      </c>
    </row>
    <row r="26" spans="1:47" ht="15" customHeight="1" x14ac:dyDescent="0.2">
      <c r="A26" s="41" t="s">
        <v>75</v>
      </c>
      <c r="B26" s="35">
        <v>13</v>
      </c>
      <c r="C26" s="70">
        <v>1</v>
      </c>
      <c r="D26" s="31">
        <v>8347842.7066000002</v>
      </c>
      <c r="E26" s="30">
        <f t="shared" si="33"/>
        <v>100174112.47920001</v>
      </c>
      <c r="F26" s="30">
        <v>0</v>
      </c>
      <c r="G26" s="30">
        <f t="shared" si="34"/>
        <v>50087056.239600003</v>
      </c>
      <c r="H26" s="30">
        <f t="shared" si="7"/>
        <v>0</v>
      </c>
      <c r="I26" s="30">
        <f t="shared" si="8"/>
        <v>0</v>
      </c>
      <c r="J26" s="30">
        <f t="shared" si="35"/>
        <v>4189138.7749005728</v>
      </c>
      <c r="K26" s="30">
        <f t="shared" si="9"/>
        <v>4382617.4209650001</v>
      </c>
      <c r="L26" s="30">
        <v>0</v>
      </c>
      <c r="M26" s="30">
        <f>+(((D26+(F26/12)+(G26/12))+J26/12+K26/12+N26/12))</f>
        <v>13817343.330078142</v>
      </c>
      <c r="N26" s="30">
        <f t="shared" si="36"/>
        <v>6975195.0462721316</v>
      </c>
      <c r="O26" s="30"/>
      <c r="P26" s="30">
        <f t="shared" si="37"/>
        <v>179625463.29101586</v>
      </c>
      <c r="Q26" s="30"/>
      <c r="R26" s="30"/>
      <c r="S26" s="30"/>
      <c r="T26" s="30"/>
      <c r="U26" s="30">
        <f t="shared" si="38"/>
        <v>0</v>
      </c>
      <c r="V26" s="30">
        <f t="shared" si="39"/>
        <v>179625463.29101586</v>
      </c>
      <c r="W26" s="30">
        <f t="shared" si="40"/>
        <v>5347649.5354753006</v>
      </c>
      <c r="X26" s="30">
        <v>0</v>
      </c>
      <c r="Y26" s="30">
        <f t="shared" si="41"/>
        <v>556522.84710666665</v>
      </c>
      <c r="Z26" s="30">
        <f t="shared" si="42"/>
        <v>5904172.3825819669</v>
      </c>
      <c r="AA26" s="30"/>
      <c r="AB26" s="30"/>
      <c r="AC26" s="30"/>
      <c r="AD26" s="30"/>
      <c r="AE26" s="30">
        <f t="shared" si="43"/>
        <v>0</v>
      </c>
      <c r="AF26" s="30">
        <f t="shared" si="44"/>
        <v>5904172.3825819669</v>
      </c>
      <c r="AG26" s="30">
        <f t="shared" si="45"/>
        <v>12020893.497504</v>
      </c>
      <c r="AH26" s="30">
        <f t="shared" si="46"/>
        <v>8545843.1007971689</v>
      </c>
      <c r="AI26" s="30">
        <f t="shared" si="47"/>
        <v>8378277.5498011457</v>
      </c>
      <c r="AJ26" s="31">
        <f t="shared" si="48"/>
        <v>4633337.8865455911</v>
      </c>
      <c r="AK26" s="31">
        <f t="shared" si="49"/>
        <v>671239.694219011</v>
      </c>
      <c r="AL26" s="30">
        <f t="shared" si="50"/>
        <v>3509570.014023826</v>
      </c>
      <c r="AM26" s="31">
        <f t="shared" si="51"/>
        <v>654834.89330869098</v>
      </c>
      <c r="AN26" s="31">
        <f t="shared" si="52"/>
        <v>654834.89330869098</v>
      </c>
      <c r="AO26" s="30">
        <f t="shared" si="53"/>
        <v>1205253.9474314968</v>
      </c>
      <c r="AP26" s="30">
        <v>0</v>
      </c>
      <c r="AQ26" s="30">
        <f t="shared" si="54"/>
        <v>40274085.476939619</v>
      </c>
      <c r="AR26" s="31">
        <f t="shared" si="55"/>
        <v>435370.05460558296</v>
      </c>
      <c r="AS26" s="31">
        <f t="shared" si="56"/>
        <v>410633.31440099212</v>
      </c>
      <c r="AT26" s="31">
        <f t="shared" si="57"/>
        <v>846003.36900657509</v>
      </c>
      <c r="AU26" s="33">
        <f t="shared" si="58"/>
        <v>225803721.15053746</v>
      </c>
    </row>
    <row r="27" spans="1:47" ht="15" customHeight="1" x14ac:dyDescent="0.2">
      <c r="A27" s="41" t="s">
        <v>76</v>
      </c>
      <c r="B27" s="35">
        <v>13</v>
      </c>
      <c r="C27" s="70">
        <v>10</v>
      </c>
      <c r="D27" s="31">
        <v>8347842.7066000002</v>
      </c>
      <c r="E27" s="30">
        <f t="shared" si="33"/>
        <v>1001741124.7920001</v>
      </c>
      <c r="F27" s="30">
        <v>0</v>
      </c>
      <c r="G27" s="30">
        <f>+(D27*50%)*9*12</f>
        <v>450783506.15640002</v>
      </c>
      <c r="H27" s="30">
        <f t="shared" si="7"/>
        <v>0</v>
      </c>
      <c r="I27" s="30">
        <f t="shared" si="8"/>
        <v>0</v>
      </c>
      <c r="J27" s="30">
        <f t="shared" si="26"/>
        <v>42297185.658354342</v>
      </c>
      <c r="K27" s="30">
        <f>+IF(D27&lt;1853502,(((D27+(F27/12)+(G27/12))*0.5))*C27,(((D27+(F27/12)+(G27/12))*0.35))*C27)</f>
        <v>160695972.10205001</v>
      </c>
      <c r="L27" s="30">
        <v>0</v>
      </c>
      <c r="M27" s="30">
        <f>+(E27/12)+J27/12+K27/12+N27/12</f>
        <v>133621743.48202011</v>
      </c>
      <c r="N27" s="30">
        <f t="shared" si="27"/>
        <v>398726639.23183692</v>
      </c>
      <c r="O27" s="30"/>
      <c r="P27" s="30">
        <f t="shared" si="11"/>
        <v>2187866171.4226613</v>
      </c>
      <c r="Q27" s="30"/>
      <c r="R27" s="30"/>
      <c r="S27" s="30"/>
      <c r="T27" s="30"/>
      <c r="U27" s="30">
        <f t="shared" ref="U27:U28" si="59">SUM(Q27:T27)</f>
        <v>0</v>
      </c>
      <c r="V27" s="30">
        <f t="shared" si="39"/>
        <v>2187866171.4226613</v>
      </c>
      <c r="W27" s="30">
        <f t="shared" si="13"/>
        <v>305690423.411075</v>
      </c>
      <c r="X27" s="30">
        <v>20000000</v>
      </c>
      <c r="Y27" s="30">
        <f t="shared" ref="Y27:Y90" si="60">+((D27/30)*2)*C27</f>
        <v>5565228.4710666668</v>
      </c>
      <c r="Z27" s="30">
        <f t="shared" ref="Z27" si="61">SUM(W27:Y27)</f>
        <v>331255651.88214165</v>
      </c>
      <c r="AA27" s="30"/>
      <c r="AB27" s="30"/>
      <c r="AC27" s="30"/>
      <c r="AD27" s="30"/>
      <c r="AE27" s="30">
        <f t="shared" ref="AE27" si="62">SUM(AA27:AD27)</f>
        <v>0</v>
      </c>
      <c r="AF27" s="30">
        <f t="shared" ref="AF27" si="63">SUM(AA27:AD27)</f>
        <v>0</v>
      </c>
      <c r="AG27" s="30">
        <f t="shared" si="28"/>
        <v>120208934.97503999</v>
      </c>
      <c r="AH27" s="30">
        <f t="shared" si="29"/>
        <v>86286258.743042856</v>
      </c>
      <c r="AI27" s="30">
        <f t="shared" si="30"/>
        <v>84594371.316708684</v>
      </c>
      <c r="AJ27" s="31">
        <f t="shared" si="16"/>
        <v>46333378.865455911</v>
      </c>
      <c r="AK27" s="31">
        <f t="shared" si="17"/>
        <v>6712396.9421901098</v>
      </c>
      <c r="AL27" s="30">
        <f t="shared" si="18"/>
        <v>35095700.140238263</v>
      </c>
      <c r="AM27" s="31">
        <f t="shared" si="19"/>
        <v>6548348.9330869112</v>
      </c>
      <c r="AN27" s="31">
        <f t="shared" si="20"/>
        <v>6548348.9330869112</v>
      </c>
      <c r="AO27" s="30">
        <f t="shared" si="21"/>
        <v>12052539.474314965</v>
      </c>
      <c r="AP27" s="30">
        <v>0</v>
      </c>
      <c r="AQ27" s="32">
        <f t="shared" ref="AQ27" si="64">SUM(AG27:AP27)</f>
        <v>404380278.3231647</v>
      </c>
      <c r="AR27" s="31">
        <f t="shared" si="22"/>
        <v>4353700.5460558292</v>
      </c>
      <c r="AS27" s="31">
        <f t="shared" si="23"/>
        <v>4106333.1440099208</v>
      </c>
      <c r="AT27" s="31">
        <f t="shared" ref="AT27" si="65">SUM(AR27:AS27)</f>
        <v>8460033.690065749</v>
      </c>
      <c r="AU27" s="33">
        <f t="shared" si="58"/>
        <v>2592246449.7458258</v>
      </c>
    </row>
    <row r="28" spans="1:47" ht="15" customHeight="1" thickBot="1" x14ac:dyDescent="0.25">
      <c r="A28" s="41" t="s">
        <v>76</v>
      </c>
      <c r="B28" s="78" t="s">
        <v>111</v>
      </c>
      <c r="C28" s="72">
        <v>27</v>
      </c>
      <c r="D28" s="66">
        <v>6308715</v>
      </c>
      <c r="E28" s="30">
        <f t="shared" si="33"/>
        <v>2044023660</v>
      </c>
      <c r="F28" s="30">
        <v>0</v>
      </c>
      <c r="G28" s="30">
        <f>+(D28*50%)*14*12</f>
        <v>529932060</v>
      </c>
      <c r="H28" s="30">
        <f t="shared" si="7"/>
        <v>0</v>
      </c>
      <c r="I28" s="30">
        <f t="shared" si="8"/>
        <v>0</v>
      </c>
      <c r="J28" s="30">
        <f t="shared" si="26"/>
        <v>86823690.1875</v>
      </c>
      <c r="K28" s="30">
        <f>+IF(D28&lt;1853502,(((D28+(F28/12)+(G28/12))*0.5))*C28,(((D28+(F28/12)+(G28/12))*0.35))*C28)</f>
        <v>476938854</v>
      </c>
      <c r="L28" s="30">
        <v>0</v>
      </c>
      <c r="M28" s="30">
        <f>+(E28/12)+J28/12+K28/12+N28/12</f>
        <v>379799429.05078125</v>
      </c>
      <c r="N28" s="30">
        <f t="shared" si="27"/>
        <v>1949806944.421875</v>
      </c>
      <c r="O28" s="30"/>
      <c r="P28" s="30">
        <f t="shared" si="11"/>
        <v>5467324637.6601562</v>
      </c>
      <c r="Q28" s="30"/>
      <c r="R28" s="30"/>
      <c r="S28" s="30"/>
      <c r="T28" s="30"/>
      <c r="U28" s="30">
        <f t="shared" si="59"/>
        <v>0</v>
      </c>
      <c r="V28" s="30">
        <f t="shared" si="39"/>
        <v>5467324637.6601562</v>
      </c>
      <c r="W28" s="30">
        <f t="shared" si="13"/>
        <v>1494851990.7234375</v>
      </c>
      <c r="X28" s="30">
        <v>0</v>
      </c>
      <c r="Y28" s="30">
        <f t="shared" si="60"/>
        <v>11355687</v>
      </c>
      <c r="Z28" s="30">
        <f t="shared" ref="Z28" si="66">SUM(W28:Y28)</f>
        <v>1506207677.7234375</v>
      </c>
      <c r="AA28" s="30"/>
      <c r="AB28" s="30"/>
      <c r="AC28" s="30"/>
      <c r="AD28" s="30"/>
      <c r="AE28" s="30">
        <f t="shared" ref="AE28" si="67">SUM(AA28:AD28)</f>
        <v>0</v>
      </c>
      <c r="AF28" s="30">
        <f t="shared" ref="AF28" si="68">SUM(AA28:AD28)</f>
        <v>0</v>
      </c>
      <c r="AG28" s="30">
        <f t="shared" si="28"/>
        <v>245282839.19999999</v>
      </c>
      <c r="AH28" s="30">
        <f t="shared" si="29"/>
        <v>177120327.98250002</v>
      </c>
      <c r="AI28" s="30">
        <f t="shared" si="30"/>
        <v>173647380.375</v>
      </c>
      <c r="AJ28" s="31">
        <f t="shared" si="16"/>
        <v>94541913.379467726</v>
      </c>
      <c r="AK28" s="31">
        <f t="shared" si="17"/>
        <v>13696450.934863135</v>
      </c>
      <c r="AL28" s="30">
        <f t="shared" si="18"/>
        <v>71611756.44636488</v>
      </c>
      <c r="AM28" s="31">
        <f t="shared" si="19"/>
        <v>13361715.738629218</v>
      </c>
      <c r="AN28" s="31">
        <f t="shared" si="20"/>
        <v>13361715.738629218</v>
      </c>
      <c r="AO28" s="30">
        <f t="shared" si="21"/>
        <v>24592856.616223149</v>
      </c>
      <c r="AP28" s="30">
        <v>0</v>
      </c>
      <c r="AQ28" s="32">
        <f t="shared" ref="AQ28" si="69">SUM(AG28:AP28)</f>
        <v>827216956.41167724</v>
      </c>
      <c r="AR28" s="31">
        <f t="shared" si="22"/>
        <v>8883599.4694146384</v>
      </c>
      <c r="AS28" s="31">
        <f t="shared" si="23"/>
        <v>8378853.4726886312</v>
      </c>
      <c r="AT28" s="31">
        <f t="shared" ref="AT28" si="70">SUM(AR28:AS28)</f>
        <v>17262452.94210327</v>
      </c>
      <c r="AU28" s="33">
        <f t="shared" si="58"/>
        <v>6294541594.0718336</v>
      </c>
    </row>
    <row r="29" spans="1:47" ht="15" customHeight="1" thickTop="1" thickBot="1" x14ac:dyDescent="0.25">
      <c r="A29" s="27" t="s">
        <v>77</v>
      </c>
      <c r="B29" s="39"/>
      <c r="C29" s="64">
        <f t="shared" ref="C29:AU29" si="71">SUM(C30:C51)</f>
        <v>1017</v>
      </c>
      <c r="D29" s="61">
        <f t="shared" si="71"/>
        <v>92945711.7183</v>
      </c>
      <c r="E29" s="61">
        <f t="shared" si="71"/>
        <v>47389284723.063599</v>
      </c>
      <c r="F29" s="61">
        <f t="shared" si="71"/>
        <v>0</v>
      </c>
      <c r="G29" s="61">
        <f>SUM(G30:G51)</f>
        <v>0</v>
      </c>
      <c r="H29" s="61">
        <f t="shared" si="71"/>
        <v>0</v>
      </c>
      <c r="I29" s="61">
        <f t="shared" si="71"/>
        <v>0</v>
      </c>
      <c r="J29" s="61">
        <f t="shared" si="71"/>
        <v>1979352792.1800437</v>
      </c>
      <c r="K29" s="61">
        <f t="shared" si="71"/>
        <v>1382187471.0893548</v>
      </c>
      <c r="L29" s="61">
        <f t="shared" si="71"/>
        <v>0</v>
      </c>
      <c r="M29" s="61">
        <f t="shared" si="71"/>
        <v>4394724125.9926071</v>
      </c>
      <c r="N29" s="61">
        <f t="shared" si="71"/>
        <v>1985864525.5782878</v>
      </c>
      <c r="O29" s="61">
        <f t="shared" si="71"/>
        <v>0</v>
      </c>
      <c r="P29" s="61">
        <f t="shared" si="71"/>
        <v>57131413637.903893</v>
      </c>
      <c r="Q29" s="61">
        <f t="shared" si="71"/>
        <v>0</v>
      </c>
      <c r="R29" s="61">
        <f t="shared" si="71"/>
        <v>0</v>
      </c>
      <c r="S29" s="61">
        <f t="shared" si="71"/>
        <v>0</v>
      </c>
      <c r="T29" s="61">
        <f t="shared" si="71"/>
        <v>0</v>
      </c>
      <c r="U29" s="61">
        <f t="shared" si="71"/>
        <v>0</v>
      </c>
      <c r="V29" s="61">
        <f t="shared" si="71"/>
        <v>57131413637.903893</v>
      </c>
      <c r="W29" s="61">
        <f t="shared" si="71"/>
        <v>2961830295.1914749</v>
      </c>
      <c r="X29" s="61">
        <f t="shared" si="71"/>
        <v>20000000</v>
      </c>
      <c r="Y29" s="61">
        <f t="shared" si="71"/>
        <v>263273804.01702002</v>
      </c>
      <c r="Z29" s="61">
        <f t="shared" si="71"/>
        <v>3245104099.2084947</v>
      </c>
      <c r="AA29" s="61">
        <f t="shared" si="71"/>
        <v>0</v>
      </c>
      <c r="AB29" s="61">
        <f t="shared" si="71"/>
        <v>0</v>
      </c>
      <c r="AC29" s="61">
        <f t="shared" si="71"/>
        <v>0</v>
      </c>
      <c r="AD29" s="61">
        <f t="shared" si="71"/>
        <v>0</v>
      </c>
      <c r="AE29" s="61">
        <f t="shared" si="71"/>
        <v>0</v>
      </c>
      <c r="AF29" s="61">
        <f t="shared" si="71"/>
        <v>3245104099.2084947</v>
      </c>
      <c r="AG29" s="61">
        <f t="shared" si="71"/>
        <v>5686714166.7676334</v>
      </c>
      <c r="AH29" s="61">
        <f t="shared" si="71"/>
        <v>4037879696.0472889</v>
      </c>
      <c r="AI29" s="61">
        <f t="shared" si="71"/>
        <v>3958705584.3600874</v>
      </c>
      <c r="AJ29" s="61">
        <f t="shared" si="71"/>
        <v>2191889330.3822188</v>
      </c>
      <c r="AK29" s="61">
        <f t="shared" si="71"/>
        <v>317542808.2117697</v>
      </c>
      <c r="AL29" s="61">
        <f t="shared" si="71"/>
        <v>1660269390.3041563</v>
      </c>
      <c r="AM29" s="61">
        <f t="shared" si="71"/>
        <v>309782202.58298779</v>
      </c>
      <c r="AN29" s="61">
        <f t="shared" si="71"/>
        <v>309782202.58298779</v>
      </c>
      <c r="AO29" s="61">
        <f t="shared" si="71"/>
        <v>570168490.29021382</v>
      </c>
      <c r="AP29" s="61">
        <f t="shared" si="71"/>
        <v>0</v>
      </c>
      <c r="AQ29" s="62">
        <f t="shared" si="71"/>
        <v>19042733871.529346</v>
      </c>
      <c r="AR29" s="61">
        <f t="shared" si="71"/>
        <v>205960152.44840515</v>
      </c>
      <c r="AS29" s="61">
        <f t="shared" si="71"/>
        <v>194257963.17351425</v>
      </c>
      <c r="AT29" s="63">
        <f t="shared" si="71"/>
        <v>400218115.62191939</v>
      </c>
      <c r="AU29" s="62">
        <f t="shared" si="71"/>
        <v>79419251608.641724</v>
      </c>
    </row>
    <row r="30" spans="1:47" ht="15" customHeight="1" thickTop="1" x14ac:dyDescent="0.2">
      <c r="A30" s="41" t="s">
        <v>78</v>
      </c>
      <c r="B30" s="78" t="s">
        <v>105</v>
      </c>
      <c r="C30" s="35">
        <v>2</v>
      </c>
      <c r="D30" s="30">
        <v>1998522.6568</v>
      </c>
      <c r="E30" s="30">
        <f t="shared" ref="E30:E51" si="72">D30*C30*12</f>
        <v>47964543.7632</v>
      </c>
      <c r="F30" s="30">
        <v>0</v>
      </c>
      <c r="G30" s="30">
        <v>0</v>
      </c>
      <c r="H30" s="30">
        <f t="shared" si="7"/>
        <v>0</v>
      </c>
      <c r="I30" s="30">
        <f t="shared" si="8"/>
        <v>0</v>
      </c>
      <c r="J30" s="30">
        <f t="shared" si="26"/>
        <v>2003380.1771463889</v>
      </c>
      <c r="K30" s="30">
        <f>+IF(D30&lt;1853502,(((D30+(F30/12)+(G30/12))*0.5))*C30,(((D30+(F30/12)+(G30/12))*0.35))*C30)</f>
        <v>1398965.8597599999</v>
      </c>
      <c r="L30" s="30">
        <v>0</v>
      </c>
      <c r="M30" s="30">
        <f>+(E30/12)+J30/12+K30/12+N30/12</f>
        <v>4426371.8842972098</v>
      </c>
      <c r="N30" s="30">
        <f>+((((D30+H30/12+I30/12+J30/12+K30/12)/2)*23)/30)*C30</f>
        <v>1749572.8114601304</v>
      </c>
      <c r="O30" s="30"/>
      <c r="P30" s="30">
        <f t="shared" si="11"/>
        <v>57542834.495863728</v>
      </c>
      <c r="Q30" s="30"/>
      <c r="R30" s="30"/>
      <c r="S30" s="30"/>
      <c r="T30" s="30"/>
      <c r="U30" s="30">
        <f t="shared" ref="U30:U51" si="73">SUM(Q30:T30)</f>
        <v>0</v>
      </c>
      <c r="V30" s="30">
        <f t="shared" ref="V30:V51" si="74">P30+U30</f>
        <v>57542834.495863728</v>
      </c>
      <c r="W30" s="30">
        <f>+(E30/360)*22.5</f>
        <v>2997783.9852</v>
      </c>
      <c r="X30" s="30">
        <v>20000000</v>
      </c>
      <c r="Y30" s="30">
        <f>+((E30/360)*2)</f>
        <v>266469.68757333333</v>
      </c>
      <c r="Z30" s="30">
        <f t="shared" ref="Z30:Z51" si="75">SUM(W30:Y30)</f>
        <v>23264253.672773331</v>
      </c>
      <c r="AA30" s="30"/>
      <c r="AB30" s="30"/>
      <c r="AC30" s="30"/>
      <c r="AD30" s="30"/>
      <c r="AE30" s="30">
        <f t="shared" ref="AE30:AE51" si="76">SUM(AA30:AD30)</f>
        <v>0</v>
      </c>
      <c r="AF30" s="30">
        <f t="shared" ref="AF30:AF51" si="77">Z30+AE30</f>
        <v>23264253.672773331</v>
      </c>
      <c r="AG30" s="30">
        <f t="shared" si="28"/>
        <v>5755745.251583999</v>
      </c>
      <c r="AH30" s="30">
        <f t="shared" si="29"/>
        <v>4086895.5613786336</v>
      </c>
      <c r="AI30" s="30">
        <f t="shared" si="30"/>
        <v>4006760.3542927778</v>
      </c>
      <c r="AJ30" s="31">
        <f t="shared" si="16"/>
        <v>2218496.6986860335</v>
      </c>
      <c r="AK30" s="31">
        <f t="shared" si="17"/>
        <v>321397.46379734389</v>
      </c>
      <c r="AL30" s="30">
        <f t="shared" si="18"/>
        <v>1680423.4184017656</v>
      </c>
      <c r="AM30" s="31">
        <f t="shared" si="19"/>
        <v>313542.65209284285</v>
      </c>
      <c r="AN30" s="31">
        <f t="shared" si="20"/>
        <v>313542.65209284285</v>
      </c>
      <c r="AO30" s="30">
        <f t="shared" si="21"/>
        <v>577089.77176464663</v>
      </c>
      <c r="AP30" s="30">
        <v>0</v>
      </c>
      <c r="AQ30" s="32">
        <f t="shared" ref="AQ30:AQ51" si="78">SUM(AG30:AP30)</f>
        <v>19273893.824090891</v>
      </c>
      <c r="AR30" s="31">
        <f t="shared" si="22"/>
        <v>208460.30496803485</v>
      </c>
      <c r="AS30" s="31">
        <f t="shared" si="23"/>
        <v>196616.06269088597</v>
      </c>
      <c r="AT30" s="31">
        <f t="shared" ref="AT30:AT51" si="79">SUM(AR30:AS30)</f>
        <v>405076.36765892082</v>
      </c>
      <c r="AU30" s="33">
        <f t="shared" ref="AU30:AU51" si="80">V30+AF30+AQ30</f>
        <v>100080981.99272797</v>
      </c>
    </row>
    <row r="31" spans="1:47" ht="15" customHeight="1" x14ac:dyDescent="0.2">
      <c r="A31" s="41" t="s">
        <v>78</v>
      </c>
      <c r="B31" s="78" t="s">
        <v>106</v>
      </c>
      <c r="C31" s="35">
        <v>4</v>
      </c>
      <c r="D31" s="30">
        <v>2308790.6704000002</v>
      </c>
      <c r="E31" s="30">
        <f t="shared" si="72"/>
        <v>110821952.17920001</v>
      </c>
      <c r="F31" s="30">
        <v>0</v>
      </c>
      <c r="G31" s="30">
        <v>0</v>
      </c>
      <c r="H31" s="30">
        <f t="shared" si="7"/>
        <v>0</v>
      </c>
      <c r="I31" s="30">
        <f t="shared" si="8"/>
        <v>0</v>
      </c>
      <c r="J31" s="30">
        <f t="shared" si="26"/>
        <v>4628804.628781111</v>
      </c>
      <c r="K31" s="30">
        <f t="shared" ref="K31:K53" si="81">+IF(D31&lt;1853502,(((D31+(F31/12)+(G31/12))*0.5))*C31,(((D31+(F31/12)+(G31/12))*0.35))*C31)</f>
        <v>3232306.9385600002</v>
      </c>
      <c r="L31" s="30">
        <v>0</v>
      </c>
      <c r="M31" s="30">
        <f t="shared" ref="M31:M94" si="82">+(E31/12)+J31/12+K31/12+N31/12</f>
        <v>10268973.734007707</v>
      </c>
      <c r="N31" s="30">
        <f t="shared" ref="N31" si="83">+((((D31+H31/12+I31/12+J31/12+K31/12)/2)*23)/30)*C31</f>
        <v>4544621.0615513641</v>
      </c>
      <c r="O31" s="30"/>
      <c r="P31" s="30">
        <f t="shared" si="11"/>
        <v>133496658.54210018</v>
      </c>
      <c r="Q31" s="30"/>
      <c r="R31" s="30"/>
      <c r="S31" s="30"/>
      <c r="T31" s="30"/>
      <c r="U31" s="30">
        <f t="shared" si="73"/>
        <v>0</v>
      </c>
      <c r="V31" s="30">
        <f t="shared" si="74"/>
        <v>133496658.54210018</v>
      </c>
      <c r="W31" s="30">
        <f t="shared" ref="W31:W51" si="84">+(E31/360)*22.5</f>
        <v>6926372.0112000005</v>
      </c>
      <c r="X31" s="30">
        <v>0</v>
      </c>
      <c r="Y31" s="30">
        <f t="shared" ref="Y31:Y51" si="85">+((E31/360)*2)</f>
        <v>615677.51210666669</v>
      </c>
      <c r="Z31" s="30">
        <f t="shared" si="75"/>
        <v>7542049.5233066669</v>
      </c>
      <c r="AA31" s="30"/>
      <c r="AB31" s="30"/>
      <c r="AC31" s="30"/>
      <c r="AD31" s="30"/>
      <c r="AE31" s="30">
        <f t="shared" si="76"/>
        <v>0</v>
      </c>
      <c r="AF31" s="30">
        <f t="shared" si="77"/>
        <v>7542049.5233066669</v>
      </c>
      <c r="AG31" s="30">
        <f t="shared" si="28"/>
        <v>13298634.261504002</v>
      </c>
      <c r="AH31" s="30">
        <f t="shared" si="29"/>
        <v>9442761.4427134674</v>
      </c>
      <c r="AI31" s="30">
        <f t="shared" si="30"/>
        <v>9257609.257562222</v>
      </c>
      <c r="AJ31" s="31">
        <f t="shared" si="16"/>
        <v>5125830.7858674405</v>
      </c>
      <c r="AK31" s="31">
        <f t="shared" si="17"/>
        <v>742587.99456761754</v>
      </c>
      <c r="AL31" s="30">
        <f t="shared" si="18"/>
        <v>3882613.8873400157</v>
      </c>
      <c r="AM31" s="31">
        <f t="shared" si="19"/>
        <v>724439.47278889688</v>
      </c>
      <c r="AN31" s="31">
        <f t="shared" si="20"/>
        <v>724439.47278889688</v>
      </c>
      <c r="AO31" s="30">
        <f t="shared" si="21"/>
        <v>1333364.3994478048</v>
      </c>
      <c r="AP31" s="30">
        <v>0</v>
      </c>
      <c r="AQ31" s="32">
        <f t="shared" si="78"/>
        <v>44532280.97458037</v>
      </c>
      <c r="AR31" s="31">
        <f t="shared" si="22"/>
        <v>481646.98620887566</v>
      </c>
      <c r="AS31" s="31">
        <f t="shared" si="23"/>
        <v>454280.89558749215</v>
      </c>
      <c r="AT31" s="31">
        <f t="shared" si="79"/>
        <v>935927.88179636782</v>
      </c>
      <c r="AU31" s="33">
        <f t="shared" si="80"/>
        <v>185570989.03998721</v>
      </c>
    </row>
    <row r="32" spans="1:47" ht="15" customHeight="1" x14ac:dyDescent="0.2">
      <c r="A32" s="41" t="s">
        <v>78</v>
      </c>
      <c r="B32" s="78" t="s">
        <v>107</v>
      </c>
      <c r="C32" s="35">
        <v>55</v>
      </c>
      <c r="D32" s="30">
        <v>2431109.9992</v>
      </c>
      <c r="E32" s="30">
        <f t="shared" si="72"/>
        <v>1604532599.4720001</v>
      </c>
      <c r="F32" s="30">
        <v>0</v>
      </c>
      <c r="G32" s="30">
        <v>0</v>
      </c>
      <c r="H32" s="30">
        <f t="shared" si="7"/>
        <v>0</v>
      </c>
      <c r="I32" s="30">
        <f t="shared" si="8"/>
        <v>0</v>
      </c>
      <c r="J32" s="30">
        <f t="shared" si="26"/>
        <v>67018021.045654863</v>
      </c>
      <c r="K32" s="30">
        <f t="shared" si="81"/>
        <v>46798867.4846</v>
      </c>
      <c r="L32" s="30">
        <v>0</v>
      </c>
      <c r="M32" s="30">
        <f t="shared" si="82"/>
        <v>148800017.54248947</v>
      </c>
      <c r="N32" s="30">
        <f>+(E32+H32+I32+J32/12+K32/12)/24</f>
        <v>67250722.507618949</v>
      </c>
      <c r="O32" s="30"/>
      <c r="P32" s="30">
        <f t="shared" si="11"/>
        <v>1934400228.0523634</v>
      </c>
      <c r="Q32" s="30"/>
      <c r="R32" s="30"/>
      <c r="S32" s="30"/>
      <c r="T32" s="30"/>
      <c r="U32" s="30">
        <f t="shared" si="73"/>
        <v>0</v>
      </c>
      <c r="V32" s="30">
        <f t="shared" si="74"/>
        <v>1934400228.0523634</v>
      </c>
      <c r="W32" s="30">
        <f t="shared" si="84"/>
        <v>100283287.46700001</v>
      </c>
      <c r="X32" s="30">
        <v>0</v>
      </c>
      <c r="Y32" s="30">
        <f t="shared" si="85"/>
        <v>8914069.9970666673</v>
      </c>
      <c r="Z32" s="30">
        <f t="shared" si="75"/>
        <v>109197357.46406667</v>
      </c>
      <c r="AA32" s="30"/>
      <c r="AB32" s="30"/>
      <c r="AC32" s="30"/>
      <c r="AD32" s="30"/>
      <c r="AE32" s="30">
        <f t="shared" si="76"/>
        <v>0</v>
      </c>
      <c r="AF32" s="30">
        <f t="shared" si="77"/>
        <v>109197357.46406667</v>
      </c>
      <c r="AG32" s="30">
        <f t="shared" si="28"/>
        <v>192543911.93663999</v>
      </c>
      <c r="AH32" s="30">
        <f t="shared" si="29"/>
        <v>136716762.93313593</v>
      </c>
      <c r="AI32" s="30">
        <f t="shared" si="30"/>
        <v>134036042.09130973</v>
      </c>
      <c r="AJ32" s="31">
        <f t="shared" si="16"/>
        <v>74214200.648643181</v>
      </c>
      <c r="AK32" s="31">
        <f t="shared" si="17"/>
        <v>10751539.941595711</v>
      </c>
      <c r="AL32" s="30">
        <f t="shared" si="18"/>
        <v>56214318.832122326</v>
      </c>
      <c r="AM32" s="31">
        <f t="shared" si="19"/>
        <v>10488777.066068146</v>
      </c>
      <c r="AN32" s="31">
        <f t="shared" si="20"/>
        <v>10488777.066068146</v>
      </c>
      <c r="AO32" s="30">
        <f t="shared" si="21"/>
        <v>19305079.93966699</v>
      </c>
      <c r="AP32" s="30">
        <v>0</v>
      </c>
      <c r="AQ32" s="32">
        <f t="shared" si="78"/>
        <v>644759410.45525014</v>
      </c>
      <c r="AR32" s="31">
        <f t="shared" si="22"/>
        <v>6973512.6986386981</v>
      </c>
      <c r="AS32" s="31">
        <f t="shared" si="23"/>
        <v>6577293.5050703306</v>
      </c>
      <c r="AT32" s="31">
        <f t="shared" si="79"/>
        <v>13550806.203709029</v>
      </c>
      <c r="AU32" s="33">
        <f t="shared" si="80"/>
        <v>2688356995.9716802</v>
      </c>
    </row>
    <row r="33" spans="1:47" ht="15" customHeight="1" x14ac:dyDescent="0.2">
      <c r="A33" s="41" t="s">
        <v>78</v>
      </c>
      <c r="B33" s="78" t="s">
        <v>108</v>
      </c>
      <c r="C33" s="35">
        <v>14</v>
      </c>
      <c r="D33" s="30">
        <v>2571652.8640000001</v>
      </c>
      <c r="E33" s="30">
        <f t="shared" si="72"/>
        <v>432037681.15200001</v>
      </c>
      <c r="F33" s="30">
        <v>0</v>
      </c>
      <c r="G33" s="30">
        <v>0</v>
      </c>
      <c r="H33" s="30">
        <f t="shared" si="7"/>
        <v>0</v>
      </c>
      <c r="I33" s="30">
        <f t="shared" si="8"/>
        <v>0</v>
      </c>
      <c r="J33" s="30">
        <f t="shared" si="26"/>
        <v>18045323.864088889</v>
      </c>
      <c r="K33" s="30">
        <f t="shared" si="81"/>
        <v>12601099.033600001</v>
      </c>
      <c r="L33" s="30">
        <v>0</v>
      </c>
      <c r="M33" s="30">
        <f t="shared" si="82"/>
        <v>40066007.107358821</v>
      </c>
      <c r="N33" s="30">
        <f t="shared" ref="N33:N83" si="86">+(E33+H33+I33+J33/12+K33/12)/24</f>
        <v>18107981.238616977</v>
      </c>
      <c r="O33" s="30"/>
      <c r="P33" s="30">
        <f t="shared" si="11"/>
        <v>520858092.39566469</v>
      </c>
      <c r="Q33" s="30"/>
      <c r="R33" s="30"/>
      <c r="S33" s="30"/>
      <c r="T33" s="30"/>
      <c r="U33" s="30">
        <f t="shared" si="73"/>
        <v>0</v>
      </c>
      <c r="V33" s="30">
        <f t="shared" si="74"/>
        <v>520858092.39566469</v>
      </c>
      <c r="W33" s="30">
        <f t="shared" si="84"/>
        <v>27002355.072000001</v>
      </c>
      <c r="X33" s="30">
        <v>0</v>
      </c>
      <c r="Y33" s="30">
        <f t="shared" si="85"/>
        <v>2400209.3397333333</v>
      </c>
      <c r="Z33" s="30">
        <f t="shared" si="75"/>
        <v>29402564.411733333</v>
      </c>
      <c r="AA33" s="30"/>
      <c r="AB33" s="30"/>
      <c r="AC33" s="30"/>
      <c r="AD33" s="30"/>
      <c r="AE33" s="30">
        <f t="shared" si="76"/>
        <v>0</v>
      </c>
      <c r="AF33" s="30">
        <f t="shared" si="77"/>
        <v>29402564.411733333</v>
      </c>
      <c r="AG33" s="30">
        <f t="shared" si="28"/>
        <v>51844521.738240004</v>
      </c>
      <c r="AH33" s="30">
        <f t="shared" si="29"/>
        <v>36812460.682741337</v>
      </c>
      <c r="AI33" s="30">
        <f t="shared" si="30"/>
        <v>36090647.728177778</v>
      </c>
      <c r="AJ33" s="31">
        <f t="shared" si="16"/>
        <v>19982972.715755396</v>
      </c>
      <c r="AK33" s="31">
        <f t="shared" si="17"/>
        <v>2894967.909476357</v>
      </c>
      <c r="AL33" s="30">
        <f t="shared" si="18"/>
        <v>15136310.701173231</v>
      </c>
      <c r="AM33" s="31">
        <f t="shared" si="19"/>
        <v>2824216.1756236958</v>
      </c>
      <c r="AN33" s="31">
        <f t="shared" si="20"/>
        <v>2824216.1756236958</v>
      </c>
      <c r="AO33" s="30">
        <f t="shared" si="21"/>
        <v>5198100.6645376449</v>
      </c>
      <c r="AP33" s="30">
        <v>0</v>
      </c>
      <c r="AQ33" s="32">
        <f t="shared" si="78"/>
        <v>173608414.49134913</v>
      </c>
      <c r="AR33" s="31">
        <f t="shared" si="22"/>
        <v>1877693.38983534</v>
      </c>
      <c r="AS33" s="31">
        <f t="shared" si="23"/>
        <v>1771007.1051979796</v>
      </c>
      <c r="AT33" s="31">
        <f t="shared" si="79"/>
        <v>3648700.4950333196</v>
      </c>
      <c r="AU33" s="33">
        <f t="shared" si="80"/>
        <v>723869071.29874718</v>
      </c>
    </row>
    <row r="34" spans="1:47" ht="15" customHeight="1" x14ac:dyDescent="0.2">
      <c r="A34" s="41" t="s">
        <v>78</v>
      </c>
      <c r="B34" s="78" t="s">
        <v>109</v>
      </c>
      <c r="C34" s="35">
        <v>77</v>
      </c>
      <c r="D34" s="30">
        <v>2661200.611</v>
      </c>
      <c r="E34" s="30">
        <f t="shared" si="72"/>
        <v>2458949364.5640001</v>
      </c>
      <c r="F34" s="30">
        <v>0</v>
      </c>
      <c r="G34" s="30">
        <v>0</v>
      </c>
      <c r="H34" s="30">
        <f t="shared" si="7"/>
        <v>0</v>
      </c>
      <c r="I34" s="30">
        <f t="shared" si="8"/>
        <v>0</v>
      </c>
      <c r="J34" s="30">
        <f t="shared" si="26"/>
        <v>102705249.06678629</v>
      </c>
      <c r="K34" s="30">
        <f t="shared" si="81"/>
        <v>71719356.466449991</v>
      </c>
      <c r="L34" s="30">
        <v>0</v>
      </c>
      <c r="M34" s="30">
        <f t="shared" si="82"/>
        <v>228036319.5510143</v>
      </c>
      <c r="N34" s="30">
        <f t="shared" si="86"/>
        <v>103061864.51493485</v>
      </c>
      <c r="O34" s="30"/>
      <c r="P34" s="30">
        <f t="shared" si="11"/>
        <v>2964472154.1631861</v>
      </c>
      <c r="Q34" s="30"/>
      <c r="R34" s="30"/>
      <c r="S34" s="30"/>
      <c r="T34" s="30"/>
      <c r="U34" s="30">
        <f t="shared" si="73"/>
        <v>0</v>
      </c>
      <c r="V34" s="30">
        <f t="shared" si="74"/>
        <v>2964472154.1631861</v>
      </c>
      <c r="W34" s="30">
        <f t="shared" si="84"/>
        <v>153684335.28525001</v>
      </c>
      <c r="X34" s="30">
        <v>0</v>
      </c>
      <c r="Y34" s="30">
        <f t="shared" si="85"/>
        <v>13660829.803133335</v>
      </c>
      <c r="Z34" s="30">
        <f t="shared" si="75"/>
        <v>167345165.08838335</v>
      </c>
      <c r="AA34" s="30"/>
      <c r="AB34" s="30"/>
      <c r="AC34" s="30"/>
      <c r="AD34" s="30"/>
      <c r="AE34" s="30">
        <f t="shared" si="76"/>
        <v>0</v>
      </c>
      <c r="AF34" s="30">
        <f t="shared" si="77"/>
        <v>167345165.08838335</v>
      </c>
      <c r="AG34" s="30">
        <f t="shared" si="28"/>
        <v>295073923.74767995</v>
      </c>
      <c r="AH34" s="30">
        <f t="shared" si="29"/>
        <v>209518708.09624404</v>
      </c>
      <c r="AI34" s="30">
        <f t="shared" si="30"/>
        <v>205410498.13357258</v>
      </c>
      <c r="AJ34" s="31">
        <f t="shared" si="16"/>
        <v>113733408.46216375</v>
      </c>
      <c r="AK34" s="31">
        <f t="shared" si="17"/>
        <v>16476756.107149813</v>
      </c>
      <c r="AL34" s="30">
        <f t="shared" si="18"/>
        <v>86148554.175297976</v>
      </c>
      <c r="AM34" s="31">
        <f t="shared" si="19"/>
        <v>16074071.483588949</v>
      </c>
      <c r="AN34" s="31">
        <f t="shared" si="20"/>
        <v>16074071.483588949</v>
      </c>
      <c r="AO34" s="30">
        <f t="shared" si="21"/>
        <v>29585072.977714688</v>
      </c>
      <c r="AP34" s="30">
        <v>0</v>
      </c>
      <c r="AQ34" s="32">
        <f t="shared" si="78"/>
        <v>988095064.66700065</v>
      </c>
      <c r="AR34" s="31">
        <f t="shared" si="22"/>
        <v>10686921.926509507</v>
      </c>
      <c r="AS34" s="31">
        <f t="shared" si="23"/>
        <v>10079715.233062703</v>
      </c>
      <c r="AT34" s="31">
        <f t="shared" si="79"/>
        <v>20766637.15957221</v>
      </c>
      <c r="AU34" s="33">
        <f t="shared" si="80"/>
        <v>4119912383.91857</v>
      </c>
    </row>
    <row r="35" spans="1:47" ht="15" customHeight="1" x14ac:dyDescent="0.2">
      <c r="A35" s="41" t="s">
        <v>78</v>
      </c>
      <c r="B35" s="78" t="s">
        <v>110</v>
      </c>
      <c r="C35" s="35">
        <v>30</v>
      </c>
      <c r="D35" s="30">
        <v>2792943.6422000001</v>
      </c>
      <c r="E35" s="30">
        <f t="shared" si="72"/>
        <v>1005459711.192</v>
      </c>
      <c r="F35" s="30">
        <v>0</v>
      </c>
      <c r="G35" s="30">
        <v>0</v>
      </c>
      <c r="H35" s="30">
        <f t="shared" si="7"/>
        <v>0</v>
      </c>
      <c r="I35" s="30">
        <f t="shared" si="8"/>
        <v>0</v>
      </c>
      <c r="J35" s="30">
        <f t="shared" si="26"/>
        <v>41995980.703288548</v>
      </c>
      <c r="K35" s="30">
        <f t="shared" si="81"/>
        <v>29325908.243100002</v>
      </c>
      <c r="L35" s="30">
        <v>0</v>
      </c>
      <c r="M35" s="30">
        <f t="shared" si="82"/>
        <v>93243616.684926584</v>
      </c>
      <c r="N35" s="30">
        <f t="shared" si="86"/>
        <v>42141800.08073052</v>
      </c>
      <c r="O35" s="30"/>
      <c r="P35" s="30">
        <f t="shared" si="11"/>
        <v>1212167016.9040456</v>
      </c>
      <c r="Q35" s="30"/>
      <c r="R35" s="30"/>
      <c r="S35" s="30"/>
      <c r="T35" s="30"/>
      <c r="U35" s="30">
        <f t="shared" si="73"/>
        <v>0</v>
      </c>
      <c r="V35" s="30">
        <f t="shared" si="74"/>
        <v>1212167016.9040456</v>
      </c>
      <c r="W35" s="30">
        <f t="shared" si="84"/>
        <v>62841231.949500002</v>
      </c>
      <c r="X35" s="30">
        <v>0</v>
      </c>
      <c r="Y35" s="30">
        <f t="shared" si="85"/>
        <v>5585887.2844000002</v>
      </c>
      <c r="Z35" s="30">
        <f t="shared" si="75"/>
        <v>68427119.233899996</v>
      </c>
      <c r="AA35" s="30"/>
      <c r="AB35" s="30"/>
      <c r="AC35" s="30"/>
      <c r="AD35" s="30"/>
      <c r="AE35" s="30">
        <f t="shared" si="76"/>
        <v>0</v>
      </c>
      <c r="AF35" s="30">
        <f t="shared" si="77"/>
        <v>68427119.233899996</v>
      </c>
      <c r="AG35" s="30">
        <f t="shared" si="28"/>
        <v>120655165.34303999</v>
      </c>
      <c r="AH35" s="30">
        <f t="shared" si="29"/>
        <v>85671800.634708643</v>
      </c>
      <c r="AI35" s="30">
        <f t="shared" si="30"/>
        <v>83991961.406577095</v>
      </c>
      <c r="AJ35" s="31">
        <f t="shared" si="16"/>
        <v>46505374.072851345</v>
      </c>
      <c r="AK35" s="31">
        <f t="shared" si="17"/>
        <v>6737314.1861395519</v>
      </c>
      <c r="AL35" s="30">
        <f t="shared" si="18"/>
        <v>35225979.70050595</v>
      </c>
      <c r="AM35" s="31">
        <f t="shared" si="19"/>
        <v>6572657.2106272653</v>
      </c>
      <c r="AN35" s="31">
        <f t="shared" si="20"/>
        <v>6572657.2106272653</v>
      </c>
      <c r="AO35" s="30">
        <f t="shared" si="21"/>
        <v>12097279.984877471</v>
      </c>
      <c r="AP35" s="30">
        <v>0</v>
      </c>
      <c r="AQ35" s="32">
        <f t="shared" si="78"/>
        <v>404030189.74995458</v>
      </c>
      <c r="AR35" s="31">
        <f t="shared" si="22"/>
        <v>4369862.0185556207</v>
      </c>
      <c r="AS35" s="31">
        <f t="shared" si="23"/>
        <v>4121576.3582548737</v>
      </c>
      <c r="AT35" s="31">
        <f t="shared" si="79"/>
        <v>8491438.3768104948</v>
      </c>
      <c r="AU35" s="33">
        <f t="shared" si="80"/>
        <v>1684624325.8879004</v>
      </c>
    </row>
    <row r="36" spans="1:47" ht="15" customHeight="1" x14ac:dyDescent="0.2">
      <c r="A36" s="41" t="s">
        <v>78</v>
      </c>
      <c r="B36" s="78" t="s">
        <v>111</v>
      </c>
      <c r="C36" s="35">
        <v>21</v>
      </c>
      <c r="D36" s="30">
        <v>2931809.8596000001</v>
      </c>
      <c r="E36" s="30">
        <f t="shared" si="72"/>
        <v>738816084.61919999</v>
      </c>
      <c r="F36" s="30">
        <v>0</v>
      </c>
      <c r="G36" s="30">
        <v>0</v>
      </c>
      <c r="H36" s="30">
        <f t="shared" si="7"/>
        <v>0</v>
      </c>
      <c r="I36" s="30">
        <f t="shared" si="8"/>
        <v>0</v>
      </c>
      <c r="J36" s="30">
        <f t="shared" si="26"/>
        <v>30858825.756591875</v>
      </c>
      <c r="K36" s="30">
        <f t="shared" si="81"/>
        <v>21548802.468059998</v>
      </c>
      <c r="L36" s="30">
        <v>0</v>
      </c>
      <c r="M36" s="30">
        <f t="shared" si="82"/>
        <v>68515807.27508229</v>
      </c>
      <c r="N36" s="30">
        <f t="shared" si="86"/>
        <v>30965974.457135599</v>
      </c>
      <c r="O36" s="30"/>
      <c r="P36" s="30">
        <f t="shared" si="11"/>
        <v>890705494.57606971</v>
      </c>
      <c r="Q36" s="30"/>
      <c r="R36" s="30"/>
      <c r="S36" s="30"/>
      <c r="T36" s="30"/>
      <c r="U36" s="30">
        <f t="shared" si="73"/>
        <v>0</v>
      </c>
      <c r="V36" s="30">
        <f t="shared" si="74"/>
        <v>890705494.57606971</v>
      </c>
      <c r="W36" s="30">
        <f t="shared" si="84"/>
        <v>46176005.288699999</v>
      </c>
      <c r="X36" s="30">
        <v>0</v>
      </c>
      <c r="Y36" s="30">
        <f t="shared" si="85"/>
        <v>4104533.8034399999</v>
      </c>
      <c r="Z36" s="30">
        <f t="shared" si="75"/>
        <v>50280539.092139997</v>
      </c>
      <c r="AA36" s="30"/>
      <c r="AB36" s="30"/>
      <c r="AC36" s="30"/>
      <c r="AD36" s="30"/>
      <c r="AE36" s="30">
        <f t="shared" si="76"/>
        <v>0</v>
      </c>
      <c r="AF36" s="30">
        <f t="shared" si="77"/>
        <v>50280539.092139997</v>
      </c>
      <c r="AG36" s="30">
        <f t="shared" si="28"/>
        <v>88657930.154304013</v>
      </c>
      <c r="AH36" s="30">
        <f t="shared" si="29"/>
        <v>62952004.543447435</v>
      </c>
      <c r="AI36" s="30">
        <f t="shared" si="30"/>
        <v>61717651.51318375</v>
      </c>
      <c r="AJ36" s="31">
        <f t="shared" si="16"/>
        <v>34172347.23957447</v>
      </c>
      <c r="AK36" s="31">
        <f t="shared" si="17"/>
        <v>4950607.202303404</v>
      </c>
      <c r="AL36" s="30">
        <f t="shared" si="18"/>
        <v>25884200.141992025</v>
      </c>
      <c r="AM36" s="31">
        <f t="shared" si="19"/>
        <v>4829616.5543449633</v>
      </c>
      <c r="AN36" s="31">
        <f t="shared" si="20"/>
        <v>4829616.5543449633</v>
      </c>
      <c r="AO36" s="30">
        <f t="shared" si="21"/>
        <v>8889132.9344002679</v>
      </c>
      <c r="AP36" s="30">
        <v>0</v>
      </c>
      <c r="AQ36" s="32">
        <f t="shared" si="78"/>
        <v>296883106.83789527</v>
      </c>
      <c r="AR36" s="31">
        <f t="shared" si="22"/>
        <v>3210993.2510850322</v>
      </c>
      <c r="AS36" s="31">
        <f t="shared" si="23"/>
        <v>3028551.8888219725</v>
      </c>
      <c r="AT36" s="31">
        <f t="shared" si="79"/>
        <v>6239545.1399070043</v>
      </c>
      <c r="AU36" s="33">
        <f t="shared" si="80"/>
        <v>1237869140.5061049</v>
      </c>
    </row>
    <row r="37" spans="1:47" ht="15" customHeight="1" x14ac:dyDescent="0.2">
      <c r="A37" s="41" t="s">
        <v>78</v>
      </c>
      <c r="B37" s="78" t="s">
        <v>112</v>
      </c>
      <c r="C37" s="35">
        <v>90</v>
      </c>
      <c r="D37" s="30">
        <v>3058010.9246999999</v>
      </c>
      <c r="E37" s="30">
        <f t="shared" si="72"/>
        <v>3302651798.6759996</v>
      </c>
      <c r="F37" s="30">
        <v>0</v>
      </c>
      <c r="G37" s="30">
        <v>0</v>
      </c>
      <c r="H37" s="30">
        <f t="shared" si="7"/>
        <v>0</v>
      </c>
      <c r="I37" s="30">
        <f t="shared" si="8"/>
        <v>0</v>
      </c>
      <c r="J37" s="30">
        <f t="shared" si="26"/>
        <v>137944961.55638906</v>
      </c>
      <c r="K37" s="30">
        <f t="shared" si="81"/>
        <v>96327344.128049985</v>
      </c>
      <c r="L37" s="30">
        <v>0</v>
      </c>
      <c r="M37" s="30">
        <f t="shared" si="82"/>
        <v>306279003.45648235</v>
      </c>
      <c r="N37" s="30">
        <f t="shared" si="86"/>
        <v>138423937.11734873</v>
      </c>
      <c r="O37" s="30"/>
      <c r="P37" s="30">
        <f t="shared" si="11"/>
        <v>3981627044.9342694</v>
      </c>
      <c r="Q37" s="30"/>
      <c r="R37" s="30"/>
      <c r="S37" s="30"/>
      <c r="T37" s="30"/>
      <c r="U37" s="30">
        <f t="shared" si="73"/>
        <v>0</v>
      </c>
      <c r="V37" s="30">
        <f t="shared" si="74"/>
        <v>3981627044.9342694</v>
      </c>
      <c r="W37" s="30">
        <f t="shared" si="84"/>
        <v>206415737.41724995</v>
      </c>
      <c r="X37" s="30">
        <v>0</v>
      </c>
      <c r="Y37" s="30">
        <f t="shared" si="85"/>
        <v>18348065.548199996</v>
      </c>
      <c r="Z37" s="30">
        <f t="shared" si="75"/>
        <v>224763802.96544993</v>
      </c>
      <c r="AA37" s="30"/>
      <c r="AB37" s="30"/>
      <c r="AC37" s="30"/>
      <c r="AD37" s="30"/>
      <c r="AE37" s="30">
        <f t="shared" si="76"/>
        <v>0</v>
      </c>
      <c r="AF37" s="30">
        <f t="shared" si="77"/>
        <v>224763802.96544993</v>
      </c>
      <c r="AG37" s="30">
        <f t="shared" si="28"/>
        <v>396318215.84111995</v>
      </c>
      <c r="AH37" s="30">
        <f t="shared" si="29"/>
        <v>281407721.57503366</v>
      </c>
      <c r="AI37" s="30">
        <f t="shared" si="30"/>
        <v>275889923.11277813</v>
      </c>
      <c r="AJ37" s="31">
        <f t="shared" si="16"/>
        <v>152757047.96536928</v>
      </c>
      <c r="AK37" s="31">
        <f t="shared" si="17"/>
        <v>22130178.432231709</v>
      </c>
      <c r="AL37" s="30">
        <f t="shared" si="18"/>
        <v>115707416.14308643</v>
      </c>
      <c r="AM37" s="31">
        <f t="shared" si="19"/>
        <v>21589326.670309287</v>
      </c>
      <c r="AN37" s="31">
        <f t="shared" si="20"/>
        <v>21589326.670309287</v>
      </c>
      <c r="AO37" s="30">
        <f t="shared" si="21"/>
        <v>39736155.56786184</v>
      </c>
      <c r="AP37" s="30">
        <v>0</v>
      </c>
      <c r="AQ37" s="32">
        <f t="shared" si="78"/>
        <v>1327125311.9780996</v>
      </c>
      <c r="AR37" s="31">
        <f t="shared" si="22"/>
        <v>14353765.242805172</v>
      </c>
      <c r="AS37" s="31">
        <f t="shared" si="23"/>
        <v>13538216.819084059</v>
      </c>
      <c r="AT37" s="31">
        <f t="shared" si="79"/>
        <v>27891982.061889231</v>
      </c>
      <c r="AU37" s="33">
        <f t="shared" si="80"/>
        <v>5533516159.8778191</v>
      </c>
    </row>
    <row r="38" spans="1:47" ht="15" customHeight="1" x14ac:dyDescent="0.2">
      <c r="A38" s="41" t="s">
        <v>78</v>
      </c>
      <c r="B38" s="35">
        <v>10</v>
      </c>
      <c r="C38" s="35">
        <v>99</v>
      </c>
      <c r="D38" s="30">
        <v>3162357</v>
      </c>
      <c r="E38" s="30">
        <f t="shared" si="72"/>
        <v>3756880116</v>
      </c>
      <c r="F38" s="30">
        <v>0</v>
      </c>
      <c r="G38" s="30">
        <v>0</v>
      </c>
      <c r="H38" s="30">
        <f t="shared" si="7"/>
        <v>0</v>
      </c>
      <c r="I38" s="30">
        <f t="shared" si="8"/>
        <v>0</v>
      </c>
      <c r="J38" s="30">
        <f t="shared" si="26"/>
        <v>156917142.57656249</v>
      </c>
      <c r="K38" s="30">
        <f t="shared" si="81"/>
        <v>109575670.05</v>
      </c>
      <c r="L38" s="30">
        <v>0</v>
      </c>
      <c r="M38" s="30">
        <f t="shared" si="82"/>
        <v>348402910.19938558</v>
      </c>
      <c r="N38" s="30">
        <f t="shared" si="86"/>
        <v>157461993.76606447</v>
      </c>
      <c r="O38" s="30"/>
      <c r="P38" s="30">
        <f t="shared" si="11"/>
        <v>4529237832.5920124</v>
      </c>
      <c r="Q38" s="30"/>
      <c r="R38" s="30"/>
      <c r="S38" s="30"/>
      <c r="T38" s="30"/>
      <c r="U38" s="30">
        <f t="shared" si="73"/>
        <v>0</v>
      </c>
      <c r="V38" s="30">
        <f t="shared" si="74"/>
        <v>4529237832.5920124</v>
      </c>
      <c r="W38" s="30">
        <f t="shared" si="84"/>
        <v>234805007.25</v>
      </c>
      <c r="X38" s="30">
        <v>0</v>
      </c>
      <c r="Y38" s="30">
        <f t="shared" si="85"/>
        <v>20871556.199999999</v>
      </c>
      <c r="Z38" s="30">
        <f t="shared" si="75"/>
        <v>255676563.44999999</v>
      </c>
      <c r="AA38" s="30"/>
      <c r="AB38" s="30"/>
      <c r="AC38" s="30"/>
      <c r="AD38" s="30"/>
      <c r="AE38" s="30">
        <f t="shared" si="76"/>
        <v>0</v>
      </c>
      <c r="AF38" s="30">
        <f t="shared" si="77"/>
        <v>255676563.44999999</v>
      </c>
      <c r="AG38" s="30">
        <f t="shared" si="28"/>
        <v>450825613.92000002</v>
      </c>
      <c r="AH38" s="30">
        <f t="shared" si="29"/>
        <v>320110970.85618752</v>
      </c>
      <c r="AI38" s="30">
        <f t="shared" si="30"/>
        <v>313834285.15312499</v>
      </c>
      <c r="AJ38" s="31">
        <f t="shared" si="16"/>
        <v>173766400.7783142</v>
      </c>
      <c r="AK38" s="31">
        <f t="shared" si="17"/>
        <v>25173839.806216784</v>
      </c>
      <c r="AL38" s="30">
        <f t="shared" si="18"/>
        <v>131621169.13322961</v>
      </c>
      <c r="AM38" s="31">
        <f t="shared" si="19"/>
        <v>24558602.308008686</v>
      </c>
      <c r="AN38" s="31">
        <f t="shared" si="20"/>
        <v>24558602.308008686</v>
      </c>
      <c r="AO38" s="30">
        <f t="shared" si="21"/>
        <v>45201244.890251309</v>
      </c>
      <c r="AP38" s="30">
        <v>0</v>
      </c>
      <c r="AQ38" s="32">
        <f t="shared" si="78"/>
        <v>1509650729.1533415</v>
      </c>
      <c r="AR38" s="31">
        <f t="shared" si="22"/>
        <v>16327902.097352438</v>
      </c>
      <c r="AS38" s="31">
        <f t="shared" si="23"/>
        <v>15400187.689814446</v>
      </c>
      <c r="AT38" s="31">
        <f t="shared" si="79"/>
        <v>31728089.787166886</v>
      </c>
      <c r="AU38" s="33">
        <f t="shared" si="80"/>
        <v>6294565125.1953535</v>
      </c>
    </row>
    <row r="39" spans="1:47" ht="15" customHeight="1" x14ac:dyDescent="0.2">
      <c r="A39" s="41" t="s">
        <v>78</v>
      </c>
      <c r="B39" s="35">
        <v>11</v>
      </c>
      <c r="C39" s="35">
        <v>97</v>
      </c>
      <c r="D39" s="30">
        <v>3295497.6653</v>
      </c>
      <c r="E39" s="30">
        <f t="shared" si="72"/>
        <v>3835959282.4091997</v>
      </c>
      <c r="F39" s="30">
        <v>0</v>
      </c>
      <c r="G39" s="30">
        <v>0</v>
      </c>
      <c r="H39" s="30">
        <f t="shared" si="7"/>
        <v>0</v>
      </c>
      <c r="I39" s="30">
        <f t="shared" si="8"/>
        <v>0</v>
      </c>
      <c r="J39" s="30">
        <f t="shared" si="26"/>
        <v>160220116.43974766</v>
      </c>
      <c r="K39" s="30">
        <f t="shared" si="81"/>
        <v>111882145.736935</v>
      </c>
      <c r="L39" s="30">
        <v>0</v>
      </c>
      <c r="M39" s="30">
        <f t="shared" si="82"/>
        <v>355736498.40619826</v>
      </c>
      <c r="N39" s="30">
        <f t="shared" si="86"/>
        <v>160776436.28849679</v>
      </c>
      <c r="O39" s="30"/>
      <c r="P39" s="30">
        <f t="shared" si="11"/>
        <v>4624574479.2805777</v>
      </c>
      <c r="Q39" s="30"/>
      <c r="R39" s="30"/>
      <c r="S39" s="30"/>
      <c r="T39" s="30"/>
      <c r="U39" s="30">
        <f t="shared" si="73"/>
        <v>0</v>
      </c>
      <c r="V39" s="30">
        <f t="shared" si="74"/>
        <v>4624574479.2805777</v>
      </c>
      <c r="W39" s="30">
        <f t="shared" si="84"/>
        <v>239747455.15057498</v>
      </c>
      <c r="X39" s="30">
        <v>0</v>
      </c>
      <c r="Y39" s="30">
        <f t="shared" si="85"/>
        <v>21310884.902273331</v>
      </c>
      <c r="Z39" s="30">
        <f t="shared" si="75"/>
        <v>261058340.05284831</v>
      </c>
      <c r="AA39" s="30"/>
      <c r="AB39" s="30"/>
      <c r="AC39" s="30"/>
      <c r="AD39" s="30"/>
      <c r="AE39" s="30">
        <f t="shared" si="76"/>
        <v>0</v>
      </c>
      <c r="AF39" s="30">
        <f t="shared" si="77"/>
        <v>261058340.05284831</v>
      </c>
      <c r="AG39" s="30">
        <f t="shared" si="28"/>
        <v>460315113.88910407</v>
      </c>
      <c r="AH39" s="30">
        <f t="shared" si="29"/>
        <v>326849037.53708529</v>
      </c>
      <c r="AI39" s="30">
        <f t="shared" si="30"/>
        <v>320440232.87949532</v>
      </c>
      <c r="AJ39" s="31">
        <f t="shared" si="16"/>
        <v>177424037.35419372</v>
      </c>
      <c r="AK39" s="31">
        <f t="shared" si="17"/>
        <v>25703727.959611982</v>
      </c>
      <c r="AL39" s="30">
        <f t="shared" si="18"/>
        <v>134391684.03268886</v>
      </c>
      <c r="AM39" s="31">
        <f t="shared" si="19"/>
        <v>25075540.229562629</v>
      </c>
      <c r="AN39" s="31">
        <f t="shared" si="20"/>
        <v>25075540.229562629</v>
      </c>
      <c r="AO39" s="30">
        <f t="shared" si="21"/>
        <v>46152693.074971393</v>
      </c>
      <c r="AP39" s="30">
        <v>0</v>
      </c>
      <c r="AQ39" s="32">
        <f t="shared" si="78"/>
        <v>1541427607.1862757</v>
      </c>
      <c r="AR39" s="31">
        <f t="shared" si="22"/>
        <v>16671590.702578526</v>
      </c>
      <c r="AS39" s="31">
        <f t="shared" si="23"/>
        <v>15724348.68709226</v>
      </c>
      <c r="AT39" s="31">
        <f t="shared" si="79"/>
        <v>32395939.389670786</v>
      </c>
      <c r="AU39" s="33">
        <f t="shared" si="80"/>
        <v>6427060426.519701</v>
      </c>
    </row>
    <row r="40" spans="1:47" ht="15" customHeight="1" x14ac:dyDescent="0.2">
      <c r="A40" s="41" t="s">
        <v>79</v>
      </c>
      <c r="B40" s="35">
        <v>12</v>
      </c>
      <c r="C40" s="35">
        <v>90</v>
      </c>
      <c r="D40" s="30">
        <v>3496348.5315</v>
      </c>
      <c r="E40" s="30">
        <f t="shared" si="72"/>
        <v>3776056414.0199995</v>
      </c>
      <c r="F40" s="30">
        <v>0</v>
      </c>
      <c r="G40" s="30">
        <v>0</v>
      </c>
      <c r="H40" s="30">
        <f t="shared" si="7"/>
        <v>0</v>
      </c>
      <c r="I40" s="30">
        <f t="shared" si="8"/>
        <v>0</v>
      </c>
      <c r="J40" s="30">
        <f t="shared" si="26"/>
        <v>157718097.03813279</v>
      </c>
      <c r="K40" s="30">
        <f t="shared" si="81"/>
        <v>110134978.74225</v>
      </c>
      <c r="L40" s="30">
        <v>0</v>
      </c>
      <c r="M40" s="30">
        <f t="shared" si="82"/>
        <v>350181268.25999147</v>
      </c>
      <c r="N40" s="30">
        <f t="shared" si="86"/>
        <v>158265729.3195152</v>
      </c>
      <c r="O40" s="30"/>
      <c r="P40" s="30">
        <f t="shared" si="11"/>
        <v>4552356487.3798885</v>
      </c>
      <c r="Q40" s="30"/>
      <c r="R40" s="30"/>
      <c r="S40" s="30"/>
      <c r="T40" s="30"/>
      <c r="U40" s="30">
        <f t="shared" si="73"/>
        <v>0</v>
      </c>
      <c r="V40" s="30">
        <f t="shared" si="74"/>
        <v>4552356487.3798885</v>
      </c>
      <c r="W40" s="30">
        <f t="shared" si="84"/>
        <v>236003525.87624994</v>
      </c>
      <c r="X40" s="30">
        <v>0</v>
      </c>
      <c r="Y40" s="30">
        <f t="shared" si="85"/>
        <v>20978091.188999996</v>
      </c>
      <c r="Z40" s="30">
        <f t="shared" si="75"/>
        <v>256981617.06524992</v>
      </c>
      <c r="AA40" s="30"/>
      <c r="AB40" s="30"/>
      <c r="AC40" s="30"/>
      <c r="AD40" s="30"/>
      <c r="AE40" s="30">
        <f t="shared" si="76"/>
        <v>0</v>
      </c>
      <c r="AF40" s="30">
        <f t="shared" si="77"/>
        <v>256981617.06524992</v>
      </c>
      <c r="AG40" s="30">
        <f t="shared" si="28"/>
        <v>453126769.68239999</v>
      </c>
      <c r="AH40" s="30">
        <f t="shared" si="29"/>
        <v>321744917.95779091</v>
      </c>
      <c r="AI40" s="30">
        <f t="shared" si="30"/>
        <v>315436194.07626557</v>
      </c>
      <c r="AJ40" s="31">
        <f t="shared" si="16"/>
        <v>174653359.15449351</v>
      </c>
      <c r="AK40" s="31">
        <f t="shared" si="17"/>
        <v>25302335.004233837</v>
      </c>
      <c r="AL40" s="30">
        <f t="shared" si="18"/>
        <v>132293004.988276</v>
      </c>
      <c r="AM40" s="31">
        <f t="shared" si="19"/>
        <v>24683957.140282243</v>
      </c>
      <c r="AN40" s="31">
        <f t="shared" si="20"/>
        <v>24683957.140282243</v>
      </c>
      <c r="AO40" s="30">
        <f t="shared" si="21"/>
        <v>45431966.264404014</v>
      </c>
      <c r="AP40" s="30">
        <v>0</v>
      </c>
      <c r="AQ40" s="32">
        <f t="shared" si="78"/>
        <v>1517356461.4084282</v>
      </c>
      <c r="AR40" s="31">
        <f t="shared" si="22"/>
        <v>16411244.846386865</v>
      </c>
      <c r="AS40" s="31">
        <f t="shared" si="23"/>
        <v>15478795.092655461</v>
      </c>
      <c r="AT40" s="31">
        <f t="shared" si="79"/>
        <v>31890039.939042326</v>
      </c>
      <c r="AU40" s="33">
        <f t="shared" si="80"/>
        <v>6326694565.8535671</v>
      </c>
    </row>
    <row r="41" spans="1:47" ht="15" customHeight="1" x14ac:dyDescent="0.2">
      <c r="A41" s="41" t="s">
        <v>79</v>
      </c>
      <c r="B41" s="35">
        <v>13</v>
      </c>
      <c r="C41" s="35">
        <v>53</v>
      </c>
      <c r="D41" s="30">
        <v>3788144.6929000001</v>
      </c>
      <c r="E41" s="30">
        <f t="shared" si="72"/>
        <v>2409260024.6844001</v>
      </c>
      <c r="F41" s="30">
        <v>0</v>
      </c>
      <c r="G41" s="30">
        <v>0</v>
      </c>
      <c r="H41" s="30">
        <f t="shared" si="7"/>
        <v>0</v>
      </c>
      <c r="I41" s="30">
        <f t="shared" si="8"/>
        <v>0</v>
      </c>
      <c r="J41" s="30">
        <f t="shared" si="26"/>
        <v>100629827.70925729</v>
      </c>
      <c r="K41" s="30">
        <f t="shared" si="81"/>
        <v>70270084.053295001</v>
      </c>
      <c r="L41" s="30">
        <v>0</v>
      </c>
      <c r="M41" s="30">
        <f t="shared" si="82"/>
        <v>223428264.44001666</v>
      </c>
      <c r="N41" s="30">
        <f t="shared" si="86"/>
        <v>100979236.83324777</v>
      </c>
      <c r="O41" s="30"/>
      <c r="P41" s="30">
        <f t="shared" si="11"/>
        <v>2904567437.7202168</v>
      </c>
      <c r="Q41" s="30"/>
      <c r="R41" s="30"/>
      <c r="S41" s="30"/>
      <c r="T41" s="30"/>
      <c r="U41" s="30">
        <f t="shared" si="73"/>
        <v>0</v>
      </c>
      <c r="V41" s="30">
        <f t="shared" si="74"/>
        <v>2904567437.7202168</v>
      </c>
      <c r="W41" s="30">
        <f t="shared" si="84"/>
        <v>150578751.54277501</v>
      </c>
      <c r="X41" s="30">
        <v>0</v>
      </c>
      <c r="Y41" s="30">
        <f t="shared" si="85"/>
        <v>13384777.914913334</v>
      </c>
      <c r="Z41" s="30">
        <f t="shared" si="75"/>
        <v>163963529.45768833</v>
      </c>
      <c r="AA41" s="30"/>
      <c r="AB41" s="30"/>
      <c r="AC41" s="30"/>
      <c r="AD41" s="30"/>
      <c r="AE41" s="30">
        <f t="shared" si="76"/>
        <v>0</v>
      </c>
      <c r="AF41" s="30">
        <f t="shared" si="77"/>
        <v>163963529.45768833</v>
      </c>
      <c r="AG41" s="30">
        <f t="shared" si="28"/>
        <v>289111202.96212798</v>
      </c>
      <c r="AH41" s="30">
        <f t="shared" si="29"/>
        <v>205284848.52688488</v>
      </c>
      <c r="AI41" s="30">
        <f t="shared" si="30"/>
        <v>201259655.41851458</v>
      </c>
      <c r="AJ41" s="31">
        <f t="shared" si="16"/>
        <v>111435135.03279451</v>
      </c>
      <c r="AK41" s="31">
        <f t="shared" si="17"/>
        <v>16143801.250038873</v>
      </c>
      <c r="AL41" s="30">
        <f t="shared" si="18"/>
        <v>84407703.041784897</v>
      </c>
      <c r="AM41" s="31">
        <f t="shared" si="19"/>
        <v>15749253.895757627</v>
      </c>
      <c r="AN41" s="31">
        <f t="shared" si="20"/>
        <v>15749253.895757627</v>
      </c>
      <c r="AO41" s="30">
        <f t="shared" si="21"/>
        <v>28987231.164565723</v>
      </c>
      <c r="AP41" s="30">
        <v>0</v>
      </c>
      <c r="AQ41" s="32">
        <f t="shared" si="78"/>
        <v>968128085.1882267</v>
      </c>
      <c r="AR41" s="31">
        <f t="shared" si="22"/>
        <v>10470965.427556857</v>
      </c>
      <c r="AS41" s="31">
        <f t="shared" si="23"/>
        <v>9876028.8931473438</v>
      </c>
      <c r="AT41" s="31">
        <f t="shared" si="79"/>
        <v>20346994.320704199</v>
      </c>
      <c r="AU41" s="33">
        <f t="shared" si="80"/>
        <v>4036659052.3661318</v>
      </c>
    </row>
    <row r="42" spans="1:47" ht="15" customHeight="1" x14ac:dyDescent="0.2">
      <c r="A42" s="41" t="s">
        <v>79</v>
      </c>
      <c r="B42" s="35">
        <v>14</v>
      </c>
      <c r="C42" s="35">
        <v>21</v>
      </c>
      <c r="D42" s="30">
        <v>4053845</v>
      </c>
      <c r="E42" s="30">
        <f t="shared" si="72"/>
        <v>1021568940</v>
      </c>
      <c r="F42" s="30">
        <v>0</v>
      </c>
      <c r="G42" s="30">
        <v>0</v>
      </c>
      <c r="H42" s="30">
        <f t="shared" si="7"/>
        <v>0</v>
      </c>
      <c r="I42" s="30">
        <f t="shared" si="8"/>
        <v>0</v>
      </c>
      <c r="J42" s="30">
        <f t="shared" si="26"/>
        <v>42668830.002604164</v>
      </c>
      <c r="K42" s="30">
        <f t="shared" si="81"/>
        <v>29795760.75</v>
      </c>
      <c r="L42" s="30">
        <v>0</v>
      </c>
      <c r="M42" s="30">
        <f t="shared" si="82"/>
        <v>94737543.034578308</v>
      </c>
      <c r="N42" s="30">
        <f t="shared" si="86"/>
        <v>42816985.662335433</v>
      </c>
      <c r="O42" s="30"/>
      <c r="P42" s="30">
        <f t="shared" si="11"/>
        <v>1231588059.4495177</v>
      </c>
      <c r="Q42" s="30"/>
      <c r="R42" s="30"/>
      <c r="S42" s="30"/>
      <c r="T42" s="30"/>
      <c r="U42" s="30">
        <f t="shared" si="73"/>
        <v>0</v>
      </c>
      <c r="V42" s="30">
        <f t="shared" si="74"/>
        <v>1231588059.4495177</v>
      </c>
      <c r="W42" s="30">
        <f t="shared" si="84"/>
        <v>63848058.75</v>
      </c>
      <c r="X42" s="30">
        <v>0</v>
      </c>
      <c r="Y42" s="30">
        <f t="shared" si="85"/>
        <v>5675383</v>
      </c>
      <c r="Z42" s="30">
        <f t="shared" si="75"/>
        <v>69523441.75</v>
      </c>
      <c r="AA42" s="30"/>
      <c r="AB42" s="30"/>
      <c r="AC42" s="30"/>
      <c r="AD42" s="30"/>
      <c r="AE42" s="30">
        <f t="shared" si="76"/>
        <v>0</v>
      </c>
      <c r="AF42" s="30">
        <f t="shared" si="77"/>
        <v>69523441.75</v>
      </c>
      <c r="AG42" s="30">
        <f t="shared" si="28"/>
        <v>122588272.8</v>
      </c>
      <c r="AH42" s="30">
        <f t="shared" si="29"/>
        <v>87044413.205312505</v>
      </c>
      <c r="AI42" s="30">
        <f t="shared" si="30"/>
        <v>85337660.005208328</v>
      </c>
      <c r="AJ42" s="31">
        <f t="shared" si="16"/>
        <v>47250471.766376063</v>
      </c>
      <c r="AK42" s="31">
        <f t="shared" si="17"/>
        <v>6845257.7810621541</v>
      </c>
      <c r="AL42" s="30">
        <f t="shared" si="18"/>
        <v>35790361.704742275</v>
      </c>
      <c r="AM42" s="31">
        <f t="shared" si="19"/>
        <v>6677962.7118860101</v>
      </c>
      <c r="AN42" s="31">
        <f t="shared" si="20"/>
        <v>6677962.7118860101</v>
      </c>
      <c r="AO42" s="30">
        <f t="shared" si="21"/>
        <v>12291099.636785548</v>
      </c>
      <c r="AP42" s="30">
        <v>0</v>
      </c>
      <c r="AQ42" s="32">
        <f t="shared" si="78"/>
        <v>410503462.32325882</v>
      </c>
      <c r="AR42" s="31">
        <f t="shared" si="22"/>
        <v>4439874.8756922288</v>
      </c>
      <c r="AS42" s="31">
        <f t="shared" si="23"/>
        <v>4187611.2434578403</v>
      </c>
      <c r="AT42" s="31">
        <f t="shared" si="79"/>
        <v>8627486.1191500686</v>
      </c>
      <c r="AU42" s="33">
        <f t="shared" si="80"/>
        <v>1711614963.5227766</v>
      </c>
    </row>
    <row r="43" spans="1:47" ht="15" customHeight="1" x14ac:dyDescent="0.2">
      <c r="A43" s="41" t="s">
        <v>79</v>
      </c>
      <c r="B43" s="35">
        <v>15</v>
      </c>
      <c r="C43" s="35">
        <v>140</v>
      </c>
      <c r="D43" s="30">
        <v>4481948</v>
      </c>
      <c r="E43" s="30">
        <f t="shared" si="72"/>
        <v>7529672640</v>
      </c>
      <c r="F43" s="30">
        <v>0</v>
      </c>
      <c r="G43" s="30">
        <v>0</v>
      </c>
      <c r="H43" s="30">
        <f t="shared" si="7"/>
        <v>0</v>
      </c>
      <c r="I43" s="30">
        <f t="shared" si="8"/>
        <v>0</v>
      </c>
      <c r="J43" s="30">
        <f t="shared" si="26"/>
        <v>314498913.65277779</v>
      </c>
      <c r="K43" s="30">
        <f t="shared" si="81"/>
        <v>219615451.99999997</v>
      </c>
      <c r="L43" s="30">
        <v>0</v>
      </c>
      <c r="M43" s="30">
        <f t="shared" si="82"/>
        <v>698281494.11853373</v>
      </c>
      <c r="N43" s="30">
        <f t="shared" si="86"/>
        <v>315590923.76962775</v>
      </c>
      <c r="O43" s="30"/>
      <c r="P43" s="30">
        <f t="shared" si="11"/>
        <v>9077659423.5409393</v>
      </c>
      <c r="Q43" s="30"/>
      <c r="R43" s="30"/>
      <c r="S43" s="30"/>
      <c r="T43" s="30"/>
      <c r="U43" s="30">
        <f t="shared" si="73"/>
        <v>0</v>
      </c>
      <c r="V43" s="30">
        <f t="shared" si="74"/>
        <v>9077659423.5409393</v>
      </c>
      <c r="W43" s="30">
        <f t="shared" si="84"/>
        <v>470604540</v>
      </c>
      <c r="X43" s="30">
        <v>0</v>
      </c>
      <c r="Y43" s="30">
        <f t="shared" si="85"/>
        <v>41831514.666666664</v>
      </c>
      <c r="Z43" s="30">
        <f t="shared" si="75"/>
        <v>512436054.66666669</v>
      </c>
      <c r="AA43" s="30"/>
      <c r="AB43" s="30"/>
      <c r="AC43" s="30"/>
      <c r="AD43" s="30"/>
      <c r="AE43" s="30">
        <f t="shared" si="76"/>
        <v>0</v>
      </c>
      <c r="AF43" s="30">
        <f t="shared" si="77"/>
        <v>512436054.66666669</v>
      </c>
      <c r="AG43" s="30">
        <f t="shared" si="28"/>
        <v>903560716.80000007</v>
      </c>
      <c r="AH43" s="30">
        <f t="shared" si="29"/>
        <v>641577783.85166669</v>
      </c>
      <c r="AI43" s="30">
        <f t="shared" si="30"/>
        <v>628997827.30555558</v>
      </c>
      <c r="AJ43" s="31">
        <f t="shared" si="16"/>
        <v>348268795.72745651</v>
      </c>
      <c r="AK43" s="31">
        <f t="shared" si="17"/>
        <v>50454304.364236847</v>
      </c>
      <c r="AL43" s="30">
        <f t="shared" si="18"/>
        <v>263799824.71266371</v>
      </c>
      <c r="AM43" s="31">
        <f t="shared" si="19"/>
        <v>49221223.506098658</v>
      </c>
      <c r="AN43" s="31">
        <f t="shared" si="20"/>
        <v>49221223.506098658</v>
      </c>
      <c r="AO43" s="30">
        <f t="shared" si="21"/>
        <v>90593941.364953876</v>
      </c>
      <c r="AP43" s="30">
        <v>0</v>
      </c>
      <c r="AQ43" s="32">
        <f t="shared" si="78"/>
        <v>3025695641.1387305</v>
      </c>
      <c r="AR43" s="31">
        <f t="shared" si="22"/>
        <v>32724961.64235688</v>
      </c>
      <c r="AS43" s="31">
        <f t="shared" si="23"/>
        <v>30865603.457776308</v>
      </c>
      <c r="AT43" s="31">
        <f t="shared" si="79"/>
        <v>63590565.100133188</v>
      </c>
      <c r="AU43" s="33">
        <f t="shared" si="80"/>
        <v>12615791119.346336</v>
      </c>
    </row>
    <row r="44" spans="1:47" ht="15" customHeight="1" x14ac:dyDescent="0.2">
      <c r="A44" s="41" t="s">
        <v>79</v>
      </c>
      <c r="B44" s="35">
        <v>16</v>
      </c>
      <c r="C44" s="35">
        <v>36</v>
      </c>
      <c r="D44" s="30">
        <v>4832173.7382000005</v>
      </c>
      <c r="E44" s="30">
        <f t="shared" si="72"/>
        <v>2087499054.9024003</v>
      </c>
      <c r="F44" s="30">
        <v>0</v>
      </c>
      <c r="G44" s="30">
        <v>0</v>
      </c>
      <c r="H44" s="30">
        <f t="shared" si="7"/>
        <v>0</v>
      </c>
      <c r="I44" s="30">
        <f t="shared" si="8"/>
        <v>0</v>
      </c>
      <c r="J44" s="30">
        <f t="shared" si="26"/>
        <v>87190534.88864626</v>
      </c>
      <c r="K44" s="30">
        <f t="shared" si="81"/>
        <v>60885389.101319999</v>
      </c>
      <c r="L44" s="30">
        <v>0</v>
      </c>
      <c r="M44" s="30">
        <f t="shared" si="82"/>
        <v>193589021.55781841</v>
      </c>
      <c r="N44" s="30">
        <f t="shared" si="86"/>
        <v>87493279.801454067</v>
      </c>
      <c r="O44" s="30"/>
      <c r="P44" s="30">
        <f t="shared" si="11"/>
        <v>2516657280.2516389</v>
      </c>
      <c r="Q44" s="30"/>
      <c r="R44" s="30"/>
      <c r="S44" s="30"/>
      <c r="T44" s="30"/>
      <c r="U44" s="30">
        <f t="shared" si="73"/>
        <v>0</v>
      </c>
      <c r="V44" s="30">
        <f t="shared" si="74"/>
        <v>2516657280.2516389</v>
      </c>
      <c r="W44" s="30">
        <f t="shared" si="84"/>
        <v>130468690.93140003</v>
      </c>
      <c r="X44" s="30">
        <v>0</v>
      </c>
      <c r="Y44" s="30">
        <f t="shared" si="85"/>
        <v>11597216.971680002</v>
      </c>
      <c r="Z44" s="30">
        <f t="shared" si="75"/>
        <v>142065907.90308005</v>
      </c>
      <c r="AA44" s="30"/>
      <c r="AB44" s="30"/>
      <c r="AC44" s="30"/>
      <c r="AD44" s="30"/>
      <c r="AE44" s="30">
        <f t="shared" si="76"/>
        <v>0</v>
      </c>
      <c r="AF44" s="30">
        <f t="shared" si="77"/>
        <v>142065907.90308005</v>
      </c>
      <c r="AG44" s="30">
        <f t="shared" si="28"/>
        <v>250499886.58828801</v>
      </c>
      <c r="AH44" s="30">
        <f t="shared" si="29"/>
        <v>177868691.17283839</v>
      </c>
      <c r="AI44" s="30">
        <f t="shared" si="30"/>
        <v>174381069.77729252</v>
      </c>
      <c r="AJ44" s="31">
        <f t="shared" si="16"/>
        <v>96552774.163242057</v>
      </c>
      <c r="AK44" s="31">
        <f t="shared" si="17"/>
        <v>13987767.823609188</v>
      </c>
      <c r="AL44" s="30">
        <f t="shared" si="18"/>
        <v>73134903.879580125</v>
      </c>
      <c r="AM44" s="31">
        <f t="shared" si="19"/>
        <v>13645912.971605729</v>
      </c>
      <c r="AN44" s="31">
        <f t="shared" si="20"/>
        <v>13645912.971605729</v>
      </c>
      <c r="AO44" s="30">
        <f t="shared" si="21"/>
        <v>25115934.78507781</v>
      </c>
      <c r="AP44" s="30">
        <v>0</v>
      </c>
      <c r="AQ44" s="32">
        <f t="shared" si="78"/>
        <v>838832854.13313973</v>
      </c>
      <c r="AR44" s="31">
        <f t="shared" si="22"/>
        <v>9072549.3346464112</v>
      </c>
      <c r="AS44" s="31">
        <f t="shared" si="23"/>
        <v>8557067.634629637</v>
      </c>
      <c r="AT44" s="31">
        <f t="shared" si="79"/>
        <v>17629616.969276048</v>
      </c>
      <c r="AU44" s="33">
        <f t="shared" si="80"/>
        <v>3497556042.2878585</v>
      </c>
    </row>
    <row r="45" spans="1:47" ht="15" customHeight="1" x14ac:dyDescent="0.2">
      <c r="A45" s="41" t="s">
        <v>79</v>
      </c>
      <c r="B45" s="35">
        <v>17</v>
      </c>
      <c r="C45" s="35">
        <v>60</v>
      </c>
      <c r="D45" s="30">
        <v>5082586</v>
      </c>
      <c r="E45" s="30">
        <f t="shared" si="72"/>
        <v>3659461920</v>
      </c>
      <c r="F45" s="30">
        <v>0</v>
      </c>
      <c r="G45" s="30">
        <v>0</v>
      </c>
      <c r="H45" s="30">
        <f t="shared" si="7"/>
        <v>0</v>
      </c>
      <c r="I45" s="30">
        <f t="shared" si="8"/>
        <v>0</v>
      </c>
      <c r="J45" s="30">
        <f t="shared" si="26"/>
        <v>152848185.22916666</v>
      </c>
      <c r="K45" s="30">
        <f t="shared" si="81"/>
        <v>106734305.99999999</v>
      </c>
      <c r="L45" s="30">
        <v>0</v>
      </c>
      <c r="M45" s="30">
        <f t="shared" si="82"/>
        <v>339368609.94364268</v>
      </c>
      <c r="N45" s="30">
        <f t="shared" si="86"/>
        <v>153378908.09454572</v>
      </c>
      <c r="O45" s="30"/>
      <c r="P45" s="30">
        <f t="shared" si="11"/>
        <v>4411791929.267355</v>
      </c>
      <c r="Q45" s="30"/>
      <c r="R45" s="30"/>
      <c r="S45" s="30"/>
      <c r="T45" s="30"/>
      <c r="U45" s="30">
        <f t="shared" si="73"/>
        <v>0</v>
      </c>
      <c r="V45" s="30">
        <f t="shared" si="74"/>
        <v>4411791929.267355</v>
      </c>
      <c r="W45" s="30">
        <f t="shared" si="84"/>
        <v>228716370</v>
      </c>
      <c r="X45" s="30">
        <v>0</v>
      </c>
      <c r="Y45" s="30">
        <f t="shared" si="85"/>
        <v>20330344</v>
      </c>
      <c r="Z45" s="30">
        <f t="shared" si="75"/>
        <v>249046714</v>
      </c>
      <c r="AA45" s="30"/>
      <c r="AB45" s="30"/>
      <c r="AC45" s="30"/>
      <c r="AD45" s="30"/>
      <c r="AE45" s="30">
        <f t="shared" si="76"/>
        <v>0</v>
      </c>
      <c r="AF45" s="30">
        <f t="shared" si="77"/>
        <v>249046714</v>
      </c>
      <c r="AG45" s="30">
        <f t="shared" si="28"/>
        <v>439135430.39999998</v>
      </c>
      <c r="AH45" s="30">
        <f t="shared" si="29"/>
        <v>311810297.86750001</v>
      </c>
      <c r="AI45" s="30">
        <f t="shared" si="30"/>
        <v>305696370.45833331</v>
      </c>
      <c r="AJ45" s="31">
        <f t="shared" si="16"/>
        <v>169260531.87471452</v>
      </c>
      <c r="AK45" s="31">
        <f t="shared" si="17"/>
        <v>24521066.764599022</v>
      </c>
      <c r="AL45" s="30">
        <f t="shared" si="18"/>
        <v>128208151.82725762</v>
      </c>
      <c r="AM45" s="31">
        <f t="shared" si="19"/>
        <v>23921782.750488468</v>
      </c>
      <c r="AN45" s="31">
        <f t="shared" si="20"/>
        <v>23921782.750488468</v>
      </c>
      <c r="AO45" s="30">
        <f t="shared" si="21"/>
        <v>44029149.002653256</v>
      </c>
      <c r="AP45" s="30">
        <v>0</v>
      </c>
      <c r="AQ45" s="32">
        <f t="shared" si="78"/>
        <v>1470504563.6960349</v>
      </c>
      <c r="AR45" s="31">
        <f t="shared" si="22"/>
        <v>15904509.62336467</v>
      </c>
      <c r="AS45" s="31">
        <f t="shared" si="23"/>
        <v>15000851.417034874</v>
      </c>
      <c r="AT45" s="31">
        <f t="shared" si="79"/>
        <v>30905361.040399544</v>
      </c>
      <c r="AU45" s="33">
        <f t="shared" si="80"/>
        <v>6131343206.9633904</v>
      </c>
    </row>
    <row r="46" spans="1:47" ht="15" customHeight="1" x14ac:dyDescent="0.2">
      <c r="A46" s="41" t="s">
        <v>79</v>
      </c>
      <c r="B46" s="35">
        <v>18</v>
      </c>
      <c r="C46" s="35">
        <v>15</v>
      </c>
      <c r="D46" s="30">
        <v>5473690</v>
      </c>
      <c r="E46" s="30">
        <f t="shared" si="72"/>
        <v>985264200</v>
      </c>
      <c r="F46" s="30">
        <v>0</v>
      </c>
      <c r="G46" s="30">
        <v>0</v>
      </c>
      <c r="H46" s="30">
        <f t="shared" si="7"/>
        <v>0</v>
      </c>
      <c r="I46" s="30">
        <f t="shared" si="8"/>
        <v>0</v>
      </c>
      <c r="J46" s="30">
        <f t="shared" si="26"/>
        <v>41152455.807291664</v>
      </c>
      <c r="K46" s="30">
        <f t="shared" si="81"/>
        <v>28736872.499999996</v>
      </c>
      <c r="L46" s="30">
        <v>0</v>
      </c>
      <c r="M46" s="30">
        <f t="shared" si="82"/>
        <v>91370739.548844695</v>
      </c>
      <c r="N46" s="30">
        <f t="shared" si="86"/>
        <v>41295346.278844766</v>
      </c>
      <c r="O46" s="30"/>
      <c r="P46" s="30">
        <f t="shared" si="11"/>
        <v>1187819614.1349812</v>
      </c>
      <c r="Q46" s="30"/>
      <c r="R46" s="30"/>
      <c r="S46" s="30"/>
      <c r="T46" s="30"/>
      <c r="U46" s="30">
        <f t="shared" si="73"/>
        <v>0</v>
      </c>
      <c r="V46" s="30">
        <f t="shared" si="74"/>
        <v>1187819614.1349812</v>
      </c>
      <c r="W46" s="30">
        <f t="shared" si="84"/>
        <v>61579012.5</v>
      </c>
      <c r="X46" s="30">
        <v>0</v>
      </c>
      <c r="Y46" s="30">
        <f t="shared" si="85"/>
        <v>5473690</v>
      </c>
      <c r="Z46" s="30">
        <f t="shared" si="75"/>
        <v>67052702.5</v>
      </c>
      <c r="AA46" s="30"/>
      <c r="AB46" s="30"/>
      <c r="AC46" s="30"/>
      <c r="AD46" s="30"/>
      <c r="AE46" s="30">
        <f t="shared" si="76"/>
        <v>0</v>
      </c>
      <c r="AF46" s="30">
        <f t="shared" si="77"/>
        <v>67052702.5</v>
      </c>
      <c r="AG46" s="30">
        <f t="shared" si="28"/>
        <v>118231704</v>
      </c>
      <c r="AH46" s="30">
        <f t="shared" si="29"/>
        <v>83951009.846875012</v>
      </c>
      <c r="AI46" s="30">
        <f t="shared" si="30"/>
        <v>82304911.614583328</v>
      </c>
      <c r="AJ46" s="31">
        <f t="shared" si="16"/>
        <v>45571274.185882255</v>
      </c>
      <c r="AK46" s="31">
        <f t="shared" si="17"/>
        <v>6601989.5157070626</v>
      </c>
      <c r="AL46" s="30">
        <f t="shared" si="18"/>
        <v>34518436.017380804</v>
      </c>
      <c r="AM46" s="31">
        <f t="shared" si="19"/>
        <v>6440639.8152201064</v>
      </c>
      <c r="AN46" s="31">
        <f t="shared" si="20"/>
        <v>6440639.8152201064</v>
      </c>
      <c r="AO46" s="30">
        <f t="shared" si="21"/>
        <v>11854295.854724992</v>
      </c>
      <c r="AP46" s="30">
        <v>0</v>
      </c>
      <c r="AQ46" s="32">
        <f t="shared" si="78"/>
        <v>395914900.66559374</v>
      </c>
      <c r="AR46" s="31">
        <f t="shared" si="22"/>
        <v>4282089.6331274547</v>
      </c>
      <c r="AS46" s="31">
        <f t="shared" si="23"/>
        <v>4038791.0009250026</v>
      </c>
      <c r="AT46" s="31">
        <f t="shared" si="79"/>
        <v>8320880.6340524573</v>
      </c>
      <c r="AU46" s="33">
        <f t="shared" si="80"/>
        <v>1650787217.3005748</v>
      </c>
    </row>
    <row r="47" spans="1:47" ht="15" customHeight="1" x14ac:dyDescent="0.2">
      <c r="A47" s="41" t="s">
        <v>79</v>
      </c>
      <c r="B47" s="35">
        <v>19</v>
      </c>
      <c r="C47" s="35">
        <v>44</v>
      </c>
      <c r="D47" s="30">
        <v>5887793.6091</v>
      </c>
      <c r="E47" s="30">
        <f t="shared" si="72"/>
        <v>3108755025.6047997</v>
      </c>
      <c r="F47" s="30">
        <v>0</v>
      </c>
      <c r="G47" s="30">
        <v>0</v>
      </c>
      <c r="H47" s="30">
        <f t="shared" si="7"/>
        <v>0</v>
      </c>
      <c r="I47" s="30">
        <f t="shared" si="8"/>
        <v>0</v>
      </c>
      <c r="J47" s="30">
        <f t="shared" si="26"/>
        <v>129846292.80846436</v>
      </c>
      <c r="K47" s="30">
        <f t="shared" si="81"/>
        <v>90672021.580139995</v>
      </c>
      <c r="L47" s="30">
        <v>0</v>
      </c>
      <c r="M47" s="30">
        <f t="shared" si="82"/>
        <v>288297540.66543591</v>
      </c>
      <c r="N47" s="30">
        <f t="shared" si="86"/>
        <v>130297147.99182709</v>
      </c>
      <c r="O47" s="30"/>
      <c r="P47" s="30">
        <f t="shared" si="11"/>
        <v>3747868028.6506672</v>
      </c>
      <c r="Q47" s="30"/>
      <c r="R47" s="30"/>
      <c r="S47" s="30"/>
      <c r="T47" s="30"/>
      <c r="U47" s="30">
        <f t="shared" si="73"/>
        <v>0</v>
      </c>
      <c r="V47" s="30">
        <f t="shared" si="74"/>
        <v>3747868028.6506672</v>
      </c>
      <c r="W47" s="30">
        <f t="shared" si="84"/>
        <v>194297189.10029998</v>
      </c>
      <c r="X47" s="30">
        <v>0</v>
      </c>
      <c r="Y47" s="30">
        <f t="shared" si="85"/>
        <v>17270861.25336</v>
      </c>
      <c r="Z47" s="30">
        <f t="shared" si="75"/>
        <v>211568050.35365999</v>
      </c>
      <c r="AA47" s="30"/>
      <c r="AB47" s="30"/>
      <c r="AC47" s="30"/>
      <c r="AD47" s="30"/>
      <c r="AE47" s="30">
        <f t="shared" si="76"/>
        <v>0</v>
      </c>
      <c r="AF47" s="30">
        <f t="shared" si="77"/>
        <v>211568050.35365999</v>
      </c>
      <c r="AG47" s="30">
        <f t="shared" si="28"/>
        <v>373050603.07257605</v>
      </c>
      <c r="AH47" s="30">
        <f t="shared" si="29"/>
        <v>264886437.32926732</v>
      </c>
      <c r="AI47" s="30">
        <f t="shared" si="30"/>
        <v>259692585.61692873</v>
      </c>
      <c r="AJ47" s="31">
        <f t="shared" si="16"/>
        <v>143788770.20861587</v>
      </c>
      <c r="AK47" s="31">
        <f t="shared" si="17"/>
        <v>20830928.481867637</v>
      </c>
      <c r="AL47" s="30">
        <f t="shared" si="18"/>
        <v>108914300.7987607</v>
      </c>
      <c r="AM47" s="31">
        <f t="shared" si="19"/>
        <v>20321829.813440777</v>
      </c>
      <c r="AN47" s="31">
        <f t="shared" si="20"/>
        <v>20321829.813440777</v>
      </c>
      <c r="AO47" s="30">
        <f t="shared" si="21"/>
        <v>37403268.90328753</v>
      </c>
      <c r="AP47" s="30">
        <v>0</v>
      </c>
      <c r="AQ47" s="32">
        <f t="shared" si="78"/>
        <v>1249210554.0381856</v>
      </c>
      <c r="AR47" s="31">
        <f t="shared" si="22"/>
        <v>13511064.004025713</v>
      </c>
      <c r="AS47" s="31">
        <f t="shared" si="23"/>
        <v>12743395.955615804</v>
      </c>
      <c r="AT47" s="31">
        <f t="shared" si="79"/>
        <v>26254459.959641516</v>
      </c>
      <c r="AU47" s="33">
        <f t="shared" si="80"/>
        <v>5208646633.0425129</v>
      </c>
    </row>
    <row r="48" spans="1:47" ht="15" customHeight="1" x14ac:dyDescent="0.2">
      <c r="A48" s="41" t="s">
        <v>79</v>
      </c>
      <c r="B48" s="35">
        <v>20</v>
      </c>
      <c r="C48" s="35">
        <v>20</v>
      </c>
      <c r="D48" s="30">
        <v>6338070.9155000001</v>
      </c>
      <c r="E48" s="30">
        <f t="shared" si="72"/>
        <v>1521137019.72</v>
      </c>
      <c r="F48" s="30">
        <v>0</v>
      </c>
      <c r="G48" s="30">
        <v>0</v>
      </c>
      <c r="H48" s="30">
        <f t="shared" si="7"/>
        <v>0</v>
      </c>
      <c r="I48" s="30">
        <f t="shared" si="8"/>
        <v>0</v>
      </c>
      <c r="J48" s="30">
        <f t="shared" si="26"/>
        <v>63534759.489751734</v>
      </c>
      <c r="K48" s="30">
        <f t="shared" si="81"/>
        <v>44366496.408500001</v>
      </c>
      <c r="L48" s="30">
        <v>0</v>
      </c>
      <c r="M48" s="30">
        <f t="shared" si="82"/>
        <v>141066136.82598227</v>
      </c>
      <c r="N48" s="30">
        <f t="shared" si="86"/>
        <v>63755366.293535598</v>
      </c>
      <c r="O48" s="30"/>
      <c r="P48" s="30">
        <f t="shared" si="11"/>
        <v>1833859778.7377698</v>
      </c>
      <c r="Q48" s="30"/>
      <c r="R48" s="30"/>
      <c r="S48" s="30"/>
      <c r="T48" s="30"/>
      <c r="U48" s="30">
        <f t="shared" si="73"/>
        <v>0</v>
      </c>
      <c r="V48" s="30">
        <f t="shared" si="74"/>
        <v>1833859778.7377698</v>
      </c>
      <c r="W48" s="30">
        <f t="shared" si="84"/>
        <v>95071063.732500002</v>
      </c>
      <c r="X48" s="30">
        <v>0</v>
      </c>
      <c r="Y48" s="30">
        <f t="shared" si="85"/>
        <v>8450761.2206666674</v>
      </c>
      <c r="Z48" s="30">
        <f t="shared" si="75"/>
        <v>103521824.95316666</v>
      </c>
      <c r="AA48" s="30"/>
      <c r="AB48" s="30"/>
      <c r="AC48" s="30"/>
      <c r="AD48" s="30"/>
      <c r="AE48" s="30">
        <f t="shared" si="76"/>
        <v>0</v>
      </c>
      <c r="AF48" s="30">
        <f t="shared" si="77"/>
        <v>103521824.95316666</v>
      </c>
      <c r="AG48" s="30">
        <f t="shared" si="28"/>
        <v>182536442.3664</v>
      </c>
      <c r="AH48" s="30">
        <f t="shared" si="29"/>
        <v>129610909.35909355</v>
      </c>
      <c r="AI48" s="30">
        <f t="shared" si="30"/>
        <v>127069518.97950347</v>
      </c>
      <c r="AJ48" s="31">
        <f t="shared" si="16"/>
        <v>70356917.667317957</v>
      </c>
      <c r="AK48" s="31">
        <f t="shared" si="17"/>
        <v>10192728.667240044</v>
      </c>
      <c r="AL48" s="30">
        <f t="shared" si="18"/>
        <v>53292579.684590332</v>
      </c>
      <c r="AM48" s="31">
        <f t="shared" si="19"/>
        <v>9943622.8918232135</v>
      </c>
      <c r="AN48" s="31">
        <f t="shared" si="20"/>
        <v>9943622.8918232135</v>
      </c>
      <c r="AO48" s="30">
        <f t="shared" si="21"/>
        <v>18301698.435136002</v>
      </c>
      <c r="AP48" s="30">
        <v>0</v>
      </c>
      <c r="AQ48" s="32">
        <f t="shared" si="78"/>
        <v>611248040.9429276</v>
      </c>
      <c r="AR48" s="31">
        <f t="shared" si="22"/>
        <v>6611064.3852779847</v>
      </c>
      <c r="AS48" s="31">
        <f t="shared" si="23"/>
        <v>6235438.6837753914</v>
      </c>
      <c r="AT48" s="31">
        <f t="shared" si="79"/>
        <v>12846503.069053376</v>
      </c>
      <c r="AU48" s="33">
        <f t="shared" si="80"/>
        <v>2548629644.6338644</v>
      </c>
    </row>
    <row r="49" spans="1:47" ht="15" customHeight="1" x14ac:dyDescent="0.2">
      <c r="A49" s="41" t="s">
        <v>79</v>
      </c>
      <c r="B49" s="35">
        <v>21</v>
      </c>
      <c r="C49" s="35">
        <v>47</v>
      </c>
      <c r="D49" s="30">
        <v>6755336.5327000003</v>
      </c>
      <c r="E49" s="30">
        <f t="shared" si="72"/>
        <v>3810009804.4428005</v>
      </c>
      <c r="F49" s="30">
        <v>0</v>
      </c>
      <c r="G49" s="30">
        <v>0</v>
      </c>
      <c r="H49" s="30">
        <f t="shared" si="7"/>
        <v>0</v>
      </c>
      <c r="I49" s="30">
        <f t="shared" si="8"/>
        <v>0</v>
      </c>
      <c r="J49" s="30">
        <f t="shared" si="26"/>
        <v>159136260.20582125</v>
      </c>
      <c r="K49" s="30">
        <f t="shared" si="81"/>
        <v>111125285.96291499</v>
      </c>
      <c r="L49" s="30">
        <v>0</v>
      </c>
      <c r="M49" s="30">
        <f t="shared" si="82"/>
        <v>353330013.93970048</v>
      </c>
      <c r="N49" s="30">
        <f t="shared" si="86"/>
        <v>159688816.66486925</v>
      </c>
      <c r="O49" s="30"/>
      <c r="P49" s="30">
        <f t="shared" si="11"/>
        <v>4593290181.2161064</v>
      </c>
      <c r="Q49" s="30"/>
      <c r="R49" s="30"/>
      <c r="S49" s="30"/>
      <c r="T49" s="30"/>
      <c r="U49" s="30">
        <f t="shared" si="73"/>
        <v>0</v>
      </c>
      <c r="V49" s="30">
        <f t="shared" si="74"/>
        <v>4593290181.2161064</v>
      </c>
      <c r="W49" s="30">
        <f t="shared" si="84"/>
        <v>238125612.77767503</v>
      </c>
      <c r="X49" s="30">
        <v>0</v>
      </c>
      <c r="Y49" s="30">
        <f t="shared" si="85"/>
        <v>21166721.135793336</v>
      </c>
      <c r="Z49" s="30">
        <f t="shared" si="75"/>
        <v>259292333.91346836</v>
      </c>
      <c r="AA49" s="30"/>
      <c r="AB49" s="30"/>
      <c r="AC49" s="30"/>
      <c r="AD49" s="30"/>
      <c r="AE49" s="30">
        <f t="shared" si="76"/>
        <v>0</v>
      </c>
      <c r="AF49" s="30">
        <f t="shared" si="77"/>
        <v>259292333.91346836</v>
      </c>
      <c r="AG49" s="30">
        <f t="shared" si="28"/>
        <v>457201176.53313601</v>
      </c>
      <c r="AH49" s="30">
        <f t="shared" si="29"/>
        <v>324637970.81987536</v>
      </c>
      <c r="AI49" s="30">
        <f t="shared" si="30"/>
        <v>318272520.41164249</v>
      </c>
      <c r="AJ49" s="31">
        <f t="shared" si="16"/>
        <v>176223800.12301522</v>
      </c>
      <c r="AK49" s="31">
        <f t="shared" si="17"/>
        <v>25529847.510619473</v>
      </c>
      <c r="AL49" s="30">
        <f t="shared" si="18"/>
        <v>133482551.84777074</v>
      </c>
      <c r="AM49" s="31">
        <f t="shared" si="19"/>
        <v>24905909.341751453</v>
      </c>
      <c r="AN49" s="31">
        <f t="shared" si="20"/>
        <v>24905909.341751453</v>
      </c>
      <c r="AO49" s="30">
        <f t="shared" si="21"/>
        <v>45840479.570117198</v>
      </c>
      <c r="AP49" s="30">
        <v>0</v>
      </c>
      <c r="AQ49" s="32">
        <f t="shared" si="78"/>
        <v>1531000165.4996791</v>
      </c>
      <c r="AR49" s="31">
        <f t="shared" si="22"/>
        <v>16558810.810053263</v>
      </c>
      <c r="AS49" s="31">
        <f t="shared" si="23"/>
        <v>15617976.692565922</v>
      </c>
      <c r="AT49" s="31">
        <f t="shared" si="79"/>
        <v>32176787.502619185</v>
      </c>
      <c r="AU49" s="33">
        <f t="shared" si="80"/>
        <v>6383582680.6292534</v>
      </c>
    </row>
    <row r="50" spans="1:47" ht="15" customHeight="1" x14ac:dyDescent="0.2">
      <c r="A50" s="41" t="s">
        <v>79</v>
      </c>
      <c r="B50" s="35">
        <v>22</v>
      </c>
      <c r="C50" s="35">
        <v>1</v>
      </c>
      <c r="D50" s="30">
        <v>7265579</v>
      </c>
      <c r="E50" s="30">
        <f t="shared" si="72"/>
        <v>87186948</v>
      </c>
      <c r="F50" s="30">
        <v>0</v>
      </c>
      <c r="G50" s="30">
        <v>0</v>
      </c>
      <c r="H50" s="30">
        <f t="shared" si="7"/>
        <v>0</v>
      </c>
      <c r="I50" s="30">
        <f t="shared" si="8"/>
        <v>0</v>
      </c>
      <c r="J50" s="30">
        <f t="shared" si="26"/>
        <v>3641619.1967013888</v>
      </c>
      <c r="K50" s="30">
        <f t="shared" si="81"/>
        <v>2542952.65</v>
      </c>
      <c r="L50" s="30">
        <v>0</v>
      </c>
      <c r="M50" s="30">
        <f t="shared" si="82"/>
        <v>8085481.9628752023</v>
      </c>
      <c r="N50" s="30">
        <f t="shared" si="86"/>
        <v>3654263.7078010463</v>
      </c>
      <c r="O50" s="30"/>
      <c r="P50" s="30">
        <f t="shared" si="11"/>
        <v>105111265.51737764</v>
      </c>
      <c r="Q50" s="30"/>
      <c r="R50" s="30"/>
      <c r="S50" s="30"/>
      <c r="T50" s="30"/>
      <c r="U50" s="30">
        <f t="shared" si="73"/>
        <v>0</v>
      </c>
      <c r="V50" s="30">
        <f t="shared" si="74"/>
        <v>105111265.51737764</v>
      </c>
      <c r="W50" s="30">
        <f t="shared" si="84"/>
        <v>5449184.25</v>
      </c>
      <c r="X50" s="30">
        <v>0</v>
      </c>
      <c r="Y50" s="30">
        <f t="shared" si="85"/>
        <v>484371.93333333335</v>
      </c>
      <c r="Z50" s="30">
        <f t="shared" si="75"/>
        <v>5933556.1833333336</v>
      </c>
      <c r="AA50" s="30"/>
      <c r="AB50" s="30"/>
      <c r="AC50" s="30"/>
      <c r="AD50" s="30"/>
      <c r="AE50" s="30">
        <f t="shared" si="76"/>
        <v>0</v>
      </c>
      <c r="AF50" s="30">
        <f t="shared" si="77"/>
        <v>5933556.1833333336</v>
      </c>
      <c r="AG50" s="30">
        <f t="shared" si="28"/>
        <v>10462433.76</v>
      </c>
      <c r="AH50" s="30">
        <f t="shared" si="29"/>
        <v>7428903.1612708336</v>
      </c>
      <c r="AI50" s="30">
        <f t="shared" si="30"/>
        <v>7283238.3934027776</v>
      </c>
      <c r="AJ50" s="31">
        <f t="shared" si="16"/>
        <v>4032644.5563923446</v>
      </c>
      <c r="AK50" s="31">
        <f t="shared" si="17"/>
        <v>584216.20982726966</v>
      </c>
      <c r="AL50" s="30">
        <f t="shared" si="18"/>
        <v>3054568.598035641</v>
      </c>
      <c r="AM50" s="31">
        <f t="shared" si="19"/>
        <v>569938.22434259253</v>
      </c>
      <c r="AN50" s="31">
        <f t="shared" si="20"/>
        <v>569938.22434259253</v>
      </c>
      <c r="AO50" s="30">
        <f t="shared" si="21"/>
        <v>1048997.6965188864</v>
      </c>
      <c r="AP50" s="30">
        <v>0</v>
      </c>
      <c r="AQ50" s="32">
        <f t="shared" si="78"/>
        <v>35034878.824132934</v>
      </c>
      <c r="AR50" s="31">
        <f t="shared" si="22"/>
        <v>378926.10547995404</v>
      </c>
      <c r="AS50" s="31">
        <f t="shared" si="23"/>
        <v>357396.38259516191</v>
      </c>
      <c r="AT50" s="31">
        <f t="shared" si="79"/>
        <v>736322.48807511595</v>
      </c>
      <c r="AU50" s="33">
        <f t="shared" si="80"/>
        <v>146079700.52484393</v>
      </c>
    </row>
    <row r="51" spans="1:47" ht="15" customHeight="1" thickBot="1" x14ac:dyDescent="0.25">
      <c r="A51" s="41" t="s">
        <v>79</v>
      </c>
      <c r="B51" s="35">
        <v>24</v>
      </c>
      <c r="C51" s="35">
        <v>1</v>
      </c>
      <c r="D51" s="30">
        <v>8278299.8052000003</v>
      </c>
      <c r="E51" s="30">
        <f t="shared" si="72"/>
        <v>99339597.662400007</v>
      </c>
      <c r="F51" s="30">
        <v>0</v>
      </c>
      <c r="G51" s="30">
        <v>0</v>
      </c>
      <c r="H51" s="30">
        <f t="shared" si="7"/>
        <v>0</v>
      </c>
      <c r="I51" s="30">
        <f t="shared" si="8"/>
        <v>0</v>
      </c>
      <c r="J51" s="30">
        <f t="shared" si="26"/>
        <v>4149210.3363910415</v>
      </c>
      <c r="K51" s="30">
        <f t="shared" si="81"/>
        <v>2897404.9318200001</v>
      </c>
      <c r="L51" s="30">
        <v>0</v>
      </c>
      <c r="M51" s="30">
        <f t="shared" si="82"/>
        <v>9212485.8539447319</v>
      </c>
      <c r="N51" s="30">
        <f t="shared" si="86"/>
        <v>4163617.3167257328</v>
      </c>
      <c r="O51" s="30"/>
      <c r="P51" s="30">
        <f t="shared" si="11"/>
        <v>119762316.10128152</v>
      </c>
      <c r="Q51" s="30"/>
      <c r="R51" s="30"/>
      <c r="S51" s="30"/>
      <c r="T51" s="30"/>
      <c r="U51" s="30">
        <f t="shared" si="73"/>
        <v>0</v>
      </c>
      <c r="V51" s="30">
        <f t="shared" si="74"/>
        <v>119762316.10128152</v>
      </c>
      <c r="W51" s="30">
        <f t="shared" si="84"/>
        <v>6208724.8538999995</v>
      </c>
      <c r="X51" s="30">
        <v>0</v>
      </c>
      <c r="Y51" s="30">
        <f t="shared" si="85"/>
        <v>551886.65367999999</v>
      </c>
      <c r="Z51" s="30">
        <f t="shared" si="75"/>
        <v>6760611.507579999</v>
      </c>
      <c r="AA51" s="30"/>
      <c r="AB51" s="30"/>
      <c r="AC51" s="30"/>
      <c r="AD51" s="30"/>
      <c r="AE51" s="30">
        <f t="shared" si="76"/>
        <v>0</v>
      </c>
      <c r="AF51" s="30">
        <f t="shared" si="77"/>
        <v>6760611.507579999</v>
      </c>
      <c r="AG51" s="30">
        <f t="shared" si="28"/>
        <v>11920751.719488</v>
      </c>
      <c r="AH51" s="30">
        <f t="shared" si="29"/>
        <v>8464389.0862377249</v>
      </c>
      <c r="AI51" s="30">
        <f t="shared" si="30"/>
        <v>8298420.672782083</v>
      </c>
      <c r="AJ51" s="31">
        <f t="shared" si="16"/>
        <v>4594739.2004991742</v>
      </c>
      <c r="AK51" s="31">
        <f t="shared" si="17"/>
        <v>665647.83563811891</v>
      </c>
      <c r="AL51" s="30">
        <f t="shared" si="18"/>
        <v>3480333.0374755384</v>
      </c>
      <c r="AM51" s="31">
        <f t="shared" si="19"/>
        <v>649379.69727551215</v>
      </c>
      <c r="AN51" s="31">
        <f t="shared" si="20"/>
        <v>649379.69727551215</v>
      </c>
      <c r="AO51" s="30">
        <f t="shared" si="21"/>
        <v>1195213.4064948638</v>
      </c>
      <c r="AP51" s="30">
        <v>0</v>
      </c>
      <c r="AQ51" s="32">
        <f t="shared" si="78"/>
        <v>39918254.353166528</v>
      </c>
      <c r="AR51" s="31">
        <f t="shared" si="22"/>
        <v>431743.14189961989</v>
      </c>
      <c r="AS51" s="31">
        <f t="shared" si="23"/>
        <v>407212.47465848411</v>
      </c>
      <c r="AT51" s="31">
        <f t="shared" si="79"/>
        <v>838955.61655810406</v>
      </c>
      <c r="AU51" s="33">
        <f t="shared" si="80"/>
        <v>166441181.96202806</v>
      </c>
    </row>
    <row r="52" spans="1:47" ht="15" customHeight="1" thickTop="1" thickBot="1" x14ac:dyDescent="0.25">
      <c r="A52" s="27" t="s">
        <v>80</v>
      </c>
      <c r="B52" s="39"/>
      <c r="C52" s="64">
        <f t="shared" ref="C52:AU52" si="87">SUM(C53:C83)</f>
        <v>167</v>
      </c>
      <c r="D52" s="61">
        <f t="shared" si="87"/>
        <v>62066397.720300011</v>
      </c>
      <c r="E52" s="61">
        <f t="shared" si="87"/>
        <v>3953252140.5899997</v>
      </c>
      <c r="F52" s="61">
        <f t="shared" si="87"/>
        <v>0</v>
      </c>
      <c r="G52" s="61">
        <f>SUM(G53:G83)</f>
        <v>0</v>
      </c>
      <c r="H52" s="61">
        <f t="shared" si="87"/>
        <v>13071552</v>
      </c>
      <c r="I52" s="61">
        <f t="shared" si="87"/>
        <v>15329376</v>
      </c>
      <c r="J52" s="61">
        <f t="shared" si="87"/>
        <v>166335535.60557988</v>
      </c>
      <c r="K52" s="61">
        <f t="shared" si="87"/>
        <v>124797431.327015</v>
      </c>
      <c r="L52" s="61">
        <f t="shared" si="87"/>
        <v>239385305.71899998</v>
      </c>
      <c r="M52" s="61">
        <f t="shared" si="87"/>
        <v>367608183.08927083</v>
      </c>
      <c r="N52" s="61">
        <f t="shared" si="87"/>
        <v>166913089.54865479</v>
      </c>
      <c r="O52" s="61">
        <f t="shared" si="87"/>
        <v>0</v>
      </c>
      <c r="P52" s="61">
        <f t="shared" si="87"/>
        <v>5046692613.8795214</v>
      </c>
      <c r="Q52" s="61">
        <f t="shared" si="87"/>
        <v>0</v>
      </c>
      <c r="R52" s="61">
        <f t="shared" si="87"/>
        <v>0</v>
      </c>
      <c r="S52" s="61">
        <f t="shared" si="87"/>
        <v>0</v>
      </c>
      <c r="T52" s="61">
        <f t="shared" si="87"/>
        <v>0</v>
      </c>
      <c r="U52" s="61">
        <f t="shared" si="87"/>
        <v>0</v>
      </c>
      <c r="V52" s="61">
        <f t="shared" si="87"/>
        <v>5046692613.8795214</v>
      </c>
      <c r="W52" s="61">
        <f t="shared" si="87"/>
        <v>247078258.78687498</v>
      </c>
      <c r="X52" s="61">
        <f>+SUM(X53:X83)</f>
        <v>23000000</v>
      </c>
      <c r="Y52" s="61">
        <f t="shared" si="87"/>
        <v>21962511.892166667</v>
      </c>
      <c r="Z52" s="61">
        <f t="shared" si="87"/>
        <v>292040770.67904162</v>
      </c>
      <c r="AA52" s="61">
        <f t="shared" si="87"/>
        <v>0</v>
      </c>
      <c r="AB52" s="61">
        <f t="shared" si="87"/>
        <v>0</v>
      </c>
      <c r="AC52" s="61">
        <f t="shared" si="87"/>
        <v>0</v>
      </c>
      <c r="AD52" s="61">
        <f t="shared" si="87"/>
        <v>0</v>
      </c>
      <c r="AE52" s="61">
        <f t="shared" si="87"/>
        <v>0</v>
      </c>
      <c r="AF52" s="61">
        <f t="shared" si="87"/>
        <v>292040770.67904162</v>
      </c>
      <c r="AG52" s="61">
        <f t="shared" si="87"/>
        <v>483213554.47080004</v>
      </c>
      <c r="AH52" s="61">
        <f t="shared" si="87"/>
        <v>339324492.63538301</v>
      </c>
      <c r="AI52" s="61">
        <f t="shared" si="87"/>
        <v>332671071.21115977</v>
      </c>
      <c r="AJ52" s="61">
        <f t="shared" si="87"/>
        <v>182849165.96457353</v>
      </c>
      <c r="AK52" s="61">
        <f t="shared" si="87"/>
        <v>26489675.74902416</v>
      </c>
      <c r="AL52" s="61">
        <f t="shared" si="87"/>
        <v>138501004.17281944</v>
      </c>
      <c r="AM52" s="61">
        <f t="shared" si="87"/>
        <v>25842279.803009249</v>
      </c>
      <c r="AN52" s="61">
        <f t="shared" si="87"/>
        <v>25842279.803009249</v>
      </c>
      <c r="AO52" s="61">
        <f t="shared" si="87"/>
        <v>47563912.768655077</v>
      </c>
      <c r="AP52" s="61">
        <f t="shared" si="87"/>
        <v>0</v>
      </c>
      <c r="AQ52" s="62">
        <f t="shared" si="87"/>
        <v>1602297436.5784335</v>
      </c>
      <c r="AR52" s="61">
        <f t="shared" si="87"/>
        <v>17181361.109395191</v>
      </c>
      <c r="AS52" s="61">
        <f t="shared" si="87"/>
        <v>16205155.094240095</v>
      </c>
      <c r="AT52" s="63">
        <f t="shared" si="87"/>
        <v>33386516.203635275</v>
      </c>
      <c r="AU52" s="62">
        <f t="shared" si="87"/>
        <v>6941030821.1369963</v>
      </c>
    </row>
    <row r="53" spans="1:47" ht="15" customHeight="1" thickTop="1" x14ac:dyDescent="0.2">
      <c r="A53" s="41" t="s">
        <v>81</v>
      </c>
      <c r="B53" s="35">
        <v>11</v>
      </c>
      <c r="C53" s="35">
        <v>6</v>
      </c>
      <c r="D53" s="30">
        <v>1884668.6529999999</v>
      </c>
      <c r="E53" s="30">
        <f t="shared" ref="E53:E83" si="88">D53*C53*12</f>
        <v>135696143.016</v>
      </c>
      <c r="F53" s="30">
        <v>0</v>
      </c>
      <c r="G53" s="30">
        <v>0</v>
      </c>
      <c r="H53" s="30">
        <f t="shared" ref="H53:H57" si="89">(IF(D53&gt;=1890567,0,68081))*12</f>
        <v>816972</v>
      </c>
      <c r="I53" s="30">
        <f t="shared" si="8"/>
        <v>0</v>
      </c>
      <c r="J53" s="30">
        <f t="shared" si="26"/>
        <v>5701788.8345947927</v>
      </c>
      <c r="K53" s="30">
        <f t="shared" si="81"/>
        <v>3957804.1712999996</v>
      </c>
      <c r="L53" s="30">
        <v>0</v>
      </c>
      <c r="M53" s="30">
        <f t="shared" si="82"/>
        <v>12589776.894532289</v>
      </c>
      <c r="N53" s="30">
        <f t="shared" si="86"/>
        <v>5721586.7124926904</v>
      </c>
      <c r="O53" s="30"/>
      <c r="P53" s="30">
        <f t="shared" si="11"/>
        <v>164484071.62891978</v>
      </c>
      <c r="Q53" s="30"/>
      <c r="R53" s="30"/>
      <c r="S53" s="30"/>
      <c r="T53" s="30"/>
      <c r="U53" s="30">
        <f>SUM(Q53:T53)</f>
        <v>0</v>
      </c>
      <c r="V53" s="30">
        <f t="shared" ref="V53:V83" si="90">P53+U53</f>
        <v>164484071.62891978</v>
      </c>
      <c r="W53" s="30">
        <f>+(E53/360)*22.5</f>
        <v>8481008.9385000002</v>
      </c>
      <c r="X53" s="30">
        <v>23000000</v>
      </c>
      <c r="Y53" s="30">
        <f t="shared" si="60"/>
        <v>753867.4611999999</v>
      </c>
      <c r="Z53" s="30">
        <f>SUM(W53:Y53)</f>
        <v>32234876.399700001</v>
      </c>
      <c r="AA53" s="30"/>
      <c r="AB53" s="30"/>
      <c r="AC53" s="30"/>
      <c r="AD53" s="30"/>
      <c r="AE53" s="30">
        <f>SUM(AA53:AD53)</f>
        <v>0</v>
      </c>
      <c r="AF53" s="30">
        <f>Z53+AE53</f>
        <v>32234876.399700001</v>
      </c>
      <c r="AG53" s="30">
        <f t="shared" si="28"/>
        <v>16871757.00192</v>
      </c>
      <c r="AH53" s="30">
        <f t="shared" si="29"/>
        <v>11631649.222573377</v>
      </c>
      <c r="AI53" s="30">
        <f t="shared" si="30"/>
        <v>11403577.669189585</v>
      </c>
      <c r="AJ53" s="31">
        <f t="shared" si="16"/>
        <v>6276332.926080971</v>
      </c>
      <c r="AK53" s="31">
        <f t="shared" si="17"/>
        <v>909263.23468722228</v>
      </c>
      <c r="AL53" s="30">
        <f t="shared" si="18"/>
        <v>4754073.7098771585</v>
      </c>
      <c r="AM53" s="31">
        <f t="shared" si="19"/>
        <v>887041.24384165299</v>
      </c>
      <c r="AN53" s="31">
        <f t="shared" si="20"/>
        <v>887041.24384165299</v>
      </c>
      <c r="AO53" s="30">
        <f t="shared" si="21"/>
        <v>1632640.4893801461</v>
      </c>
      <c r="AP53" s="30">
        <v>0</v>
      </c>
      <c r="AQ53" s="32">
        <f>SUM(AG53:AP53)</f>
        <v>55253376.741391771</v>
      </c>
      <c r="AR53" s="31">
        <f t="shared" si="22"/>
        <v>589753.5374412206</v>
      </c>
      <c r="AS53" s="31">
        <f t="shared" si="23"/>
        <v>556245.07748607208</v>
      </c>
      <c r="AT53" s="31">
        <f>SUM(AR53:AS53)</f>
        <v>1145998.6149272928</v>
      </c>
      <c r="AU53" s="33">
        <f>V53+AF53+AQ53</f>
        <v>251972324.77001154</v>
      </c>
    </row>
    <row r="54" spans="1:47" ht="15" customHeight="1" x14ac:dyDescent="0.2">
      <c r="A54" s="41" t="s">
        <v>81</v>
      </c>
      <c r="B54" s="35">
        <v>13</v>
      </c>
      <c r="C54" s="35">
        <v>4</v>
      </c>
      <c r="D54" s="30">
        <v>2131262</v>
      </c>
      <c r="E54" s="30">
        <f t="shared" si="88"/>
        <v>102300576</v>
      </c>
      <c r="F54" s="30">
        <v>0</v>
      </c>
      <c r="G54" s="30">
        <v>0</v>
      </c>
      <c r="H54" s="30">
        <f t="shared" si="89"/>
        <v>0</v>
      </c>
      <c r="I54" s="30">
        <f t="shared" si="8"/>
        <v>0</v>
      </c>
      <c r="J54" s="30">
        <f t="shared" si="26"/>
        <v>4272884.3013888886</v>
      </c>
      <c r="K54" s="30">
        <f t="shared" ref="K54:K107" si="91">+IF(D54&lt;1687295,(((D54+(F54/12)+(G54/12))*0.5))*C54,(((D54+(F54/12)+(G54/12))*0.35))*C54)</f>
        <v>2983766.8</v>
      </c>
      <c r="L54" s="30">
        <v>0</v>
      </c>
      <c r="M54" s="30">
        <f t="shared" si="82"/>
        <v>9487078.9838835038</v>
      </c>
      <c r="N54" s="30">
        <f t="shared" si="86"/>
        <v>4287720.7052131556</v>
      </c>
      <c r="O54" s="30"/>
      <c r="P54" s="30">
        <f t="shared" si="11"/>
        <v>123332026.79048555</v>
      </c>
      <c r="Q54" s="30"/>
      <c r="R54" s="30"/>
      <c r="S54" s="30"/>
      <c r="T54" s="30"/>
      <c r="U54" s="30">
        <f t="shared" ref="U54:U83" si="92">SUM(Q54:T54)</f>
        <v>0</v>
      </c>
      <c r="V54" s="30">
        <f t="shared" si="90"/>
        <v>123332026.79048555</v>
      </c>
      <c r="W54" s="30">
        <f t="shared" ref="W54:W83" si="93">+(E54/360)*22.5</f>
        <v>6393786</v>
      </c>
      <c r="X54" s="30">
        <v>0</v>
      </c>
      <c r="Y54" s="30">
        <f t="shared" si="60"/>
        <v>568336.53333333333</v>
      </c>
      <c r="Z54" s="30">
        <f t="shared" ref="Z54:Z83" si="94">SUM(W54:Y54)</f>
        <v>6962122.5333333332</v>
      </c>
      <c r="AA54" s="30"/>
      <c r="AB54" s="30"/>
      <c r="AC54" s="30"/>
      <c r="AD54" s="30"/>
      <c r="AE54" s="30">
        <f t="shared" ref="AE54:AE83" si="95">SUM(AA54:AD54)</f>
        <v>0</v>
      </c>
      <c r="AF54" s="30">
        <f t="shared" ref="AF54:AF83" si="96">Z54+AE54</f>
        <v>6962122.5333333332</v>
      </c>
      <c r="AG54" s="30">
        <f t="shared" si="28"/>
        <v>12276069.120000001</v>
      </c>
      <c r="AH54" s="30">
        <f t="shared" si="29"/>
        <v>8716683.9748333339</v>
      </c>
      <c r="AI54" s="30">
        <f t="shared" si="30"/>
        <v>8545768.6027777772</v>
      </c>
      <c r="AJ54" s="31">
        <f t="shared" si="16"/>
        <v>4731692.8781840298</v>
      </c>
      <c r="AK54" s="31">
        <f t="shared" si="17"/>
        <v>685488.55241344776</v>
      </c>
      <c r="AL54" s="30">
        <f t="shared" si="18"/>
        <v>3584070.026290616</v>
      </c>
      <c r="AM54" s="31">
        <f t="shared" si="19"/>
        <v>668735.51571806881</v>
      </c>
      <c r="AN54" s="31">
        <f t="shared" si="20"/>
        <v>668735.51571806881</v>
      </c>
      <c r="AO54" s="30">
        <f t="shared" si="21"/>
        <v>1230838.6867327353</v>
      </c>
      <c r="AP54" s="30">
        <v>0</v>
      </c>
      <c r="AQ54" s="32">
        <f t="shared" ref="AQ54:AQ83" si="97">SUM(AG54:AP54)</f>
        <v>41108082.872668073</v>
      </c>
      <c r="AR54" s="31">
        <f t="shared" si="22"/>
        <v>444611.94870631385</v>
      </c>
      <c r="AS54" s="31">
        <f t="shared" si="23"/>
        <v>419350.10501573514</v>
      </c>
      <c r="AT54" s="31">
        <f t="shared" ref="AT54:AT83" si="98">SUM(AR54:AS54)</f>
        <v>863962.05372204899</v>
      </c>
      <c r="AU54" s="33">
        <f t="shared" ref="AU54:AU83" si="99">V54+AF54+AQ54</f>
        <v>171402232.19648695</v>
      </c>
    </row>
    <row r="55" spans="1:47" ht="15" customHeight="1" x14ac:dyDescent="0.2">
      <c r="A55" s="41" t="s">
        <v>81</v>
      </c>
      <c r="B55" s="35">
        <v>15</v>
      </c>
      <c r="C55" s="35">
        <v>2</v>
      </c>
      <c r="D55" s="30">
        <v>2308790.6704000002</v>
      </c>
      <c r="E55" s="30">
        <f t="shared" si="88"/>
        <v>55410976.089600004</v>
      </c>
      <c r="F55" s="30">
        <v>0</v>
      </c>
      <c r="G55" s="30">
        <v>0</v>
      </c>
      <c r="H55" s="30">
        <f t="shared" si="89"/>
        <v>0</v>
      </c>
      <c r="I55" s="30">
        <f t="shared" si="8"/>
        <v>0</v>
      </c>
      <c r="J55" s="30">
        <f t="shared" si="26"/>
        <v>2314402.3143905555</v>
      </c>
      <c r="K55" s="30">
        <f t="shared" si="91"/>
        <v>1616153.4692800001</v>
      </c>
      <c r="L55" s="30">
        <v>0</v>
      </c>
      <c r="M55" s="30">
        <f t="shared" si="82"/>
        <v>5138664.1922340253</v>
      </c>
      <c r="N55" s="30">
        <f t="shared" si="86"/>
        <v>2322438.4335377454</v>
      </c>
      <c r="O55" s="30"/>
      <c r="P55" s="30">
        <f t="shared" si="11"/>
        <v>66802634.499042325</v>
      </c>
      <c r="Q55" s="30"/>
      <c r="R55" s="30"/>
      <c r="S55" s="30"/>
      <c r="T55" s="30"/>
      <c r="U55" s="30">
        <f t="shared" si="92"/>
        <v>0</v>
      </c>
      <c r="V55" s="30">
        <f t="shared" si="90"/>
        <v>66802634.499042325</v>
      </c>
      <c r="W55" s="30">
        <f t="shared" si="93"/>
        <v>3463186.0056000003</v>
      </c>
      <c r="X55" s="30">
        <v>0</v>
      </c>
      <c r="Y55" s="30">
        <f t="shared" si="60"/>
        <v>307838.75605333335</v>
      </c>
      <c r="Z55" s="30">
        <f t="shared" si="94"/>
        <v>3771024.7616533334</v>
      </c>
      <c r="AA55" s="30"/>
      <c r="AB55" s="30"/>
      <c r="AC55" s="30"/>
      <c r="AD55" s="30"/>
      <c r="AE55" s="30">
        <f t="shared" si="95"/>
        <v>0</v>
      </c>
      <c r="AF55" s="30">
        <f t="shared" si="96"/>
        <v>3771024.7616533334</v>
      </c>
      <c r="AG55" s="30">
        <f t="shared" si="28"/>
        <v>6649317.130752001</v>
      </c>
      <c r="AH55" s="30">
        <f t="shared" si="29"/>
        <v>4721380.7213567337</v>
      </c>
      <c r="AI55" s="30">
        <f t="shared" si="30"/>
        <v>4628804.628781111</v>
      </c>
      <c r="AJ55" s="31">
        <f t="shared" si="16"/>
        <v>2562915.3929337203</v>
      </c>
      <c r="AK55" s="31">
        <f t="shared" si="17"/>
        <v>371293.99728380877</v>
      </c>
      <c r="AL55" s="30">
        <f t="shared" si="18"/>
        <v>1941306.9436700079</v>
      </c>
      <c r="AM55" s="31">
        <f t="shared" si="19"/>
        <v>362219.73639444844</v>
      </c>
      <c r="AN55" s="31">
        <f t="shared" si="20"/>
        <v>362219.73639444844</v>
      </c>
      <c r="AO55" s="30">
        <f t="shared" si="21"/>
        <v>666682.19972390239</v>
      </c>
      <c r="AP55" s="30">
        <v>0</v>
      </c>
      <c r="AQ55" s="32">
        <f t="shared" si="97"/>
        <v>22266140.487290185</v>
      </c>
      <c r="AR55" s="31">
        <f t="shared" si="22"/>
        <v>240823.49310443783</v>
      </c>
      <c r="AS55" s="31">
        <f t="shared" si="23"/>
        <v>227140.44779374608</v>
      </c>
      <c r="AT55" s="31">
        <f t="shared" si="98"/>
        <v>467963.94089818391</v>
      </c>
      <c r="AU55" s="33">
        <f t="shared" si="99"/>
        <v>92839799.74798584</v>
      </c>
    </row>
    <row r="56" spans="1:47" ht="15" customHeight="1" x14ac:dyDescent="0.2">
      <c r="A56" s="41" t="s">
        <v>81</v>
      </c>
      <c r="B56" s="35">
        <v>16</v>
      </c>
      <c r="C56" s="35">
        <v>6</v>
      </c>
      <c r="D56" s="30">
        <v>2608619</v>
      </c>
      <c r="E56" s="30">
        <f t="shared" si="88"/>
        <v>187820568</v>
      </c>
      <c r="F56" s="30">
        <v>0</v>
      </c>
      <c r="G56" s="30">
        <v>0</v>
      </c>
      <c r="H56" s="30">
        <f t="shared" si="89"/>
        <v>0</v>
      </c>
      <c r="I56" s="30">
        <f t="shared" si="8"/>
        <v>0</v>
      </c>
      <c r="J56" s="30">
        <f t="shared" si="26"/>
        <v>7844878.1802083328</v>
      </c>
      <c r="K56" s="30">
        <f t="shared" si="91"/>
        <v>5478099.8999999994</v>
      </c>
      <c r="L56" s="30">
        <v>0</v>
      </c>
      <c r="M56" s="30">
        <f t="shared" si="82"/>
        <v>17417971.951730385</v>
      </c>
      <c r="N56" s="30">
        <f t="shared" si="86"/>
        <v>7872117.3405562788</v>
      </c>
      <c r="O56" s="30"/>
      <c r="P56" s="30">
        <f t="shared" si="11"/>
        <v>226433635.372495</v>
      </c>
      <c r="Q56" s="30"/>
      <c r="R56" s="30"/>
      <c r="S56" s="30"/>
      <c r="T56" s="30"/>
      <c r="U56" s="30">
        <f t="shared" si="92"/>
        <v>0</v>
      </c>
      <c r="V56" s="30">
        <f t="shared" si="90"/>
        <v>226433635.372495</v>
      </c>
      <c r="W56" s="30">
        <f t="shared" si="93"/>
        <v>11738785.5</v>
      </c>
      <c r="X56" s="30">
        <v>0</v>
      </c>
      <c r="Y56" s="30">
        <f t="shared" si="60"/>
        <v>1043447.5999999999</v>
      </c>
      <c r="Z56" s="30">
        <f t="shared" si="94"/>
        <v>12782233.1</v>
      </c>
      <c r="AA56" s="30"/>
      <c r="AB56" s="30"/>
      <c r="AC56" s="30"/>
      <c r="AD56" s="30"/>
      <c r="AE56" s="30">
        <f t="shared" si="95"/>
        <v>0</v>
      </c>
      <c r="AF56" s="30">
        <f t="shared" si="96"/>
        <v>12782233.1</v>
      </c>
      <c r="AG56" s="30">
        <f t="shared" si="28"/>
        <v>22538468.159999996</v>
      </c>
      <c r="AH56" s="30">
        <f t="shared" si="29"/>
        <v>16003551.487625001</v>
      </c>
      <c r="AI56" s="30">
        <f t="shared" si="30"/>
        <v>15689756.360416666</v>
      </c>
      <c r="AJ56" s="31">
        <f t="shared" si="16"/>
        <v>8687235.9739409424</v>
      </c>
      <c r="AK56" s="31">
        <f t="shared" si="17"/>
        <v>1258534.9399380854</v>
      </c>
      <c r="AL56" s="30">
        <f t="shared" si="18"/>
        <v>6580237.3203615043</v>
      </c>
      <c r="AM56" s="31">
        <f t="shared" si="19"/>
        <v>1227776.9032692504</v>
      </c>
      <c r="AN56" s="31">
        <f t="shared" si="20"/>
        <v>1227776.9032692504</v>
      </c>
      <c r="AO56" s="30">
        <f t="shared" si="21"/>
        <v>2259780.2504896591</v>
      </c>
      <c r="AP56" s="30">
        <v>0</v>
      </c>
      <c r="AQ56" s="32">
        <f t="shared" si="97"/>
        <v>75473118.299310341</v>
      </c>
      <c r="AR56" s="31">
        <f t="shared" si="22"/>
        <v>816293.24106256</v>
      </c>
      <c r="AS56" s="31">
        <f t="shared" si="23"/>
        <v>769913.3083562993</v>
      </c>
      <c r="AT56" s="31">
        <f t="shared" si="98"/>
        <v>1586206.5494188592</v>
      </c>
      <c r="AU56" s="33">
        <f t="shared" si="99"/>
        <v>314688986.77180535</v>
      </c>
    </row>
    <row r="57" spans="1:47" ht="15" customHeight="1" x14ac:dyDescent="0.2">
      <c r="A57" s="41" t="s">
        <v>81</v>
      </c>
      <c r="B57" s="35">
        <v>17</v>
      </c>
      <c r="C57" s="35">
        <v>1</v>
      </c>
      <c r="D57" s="30">
        <v>2792587.5855</v>
      </c>
      <c r="E57" s="30">
        <f t="shared" si="88"/>
        <v>33511051.026000001</v>
      </c>
      <c r="F57" s="30">
        <v>0</v>
      </c>
      <c r="G57" s="30">
        <v>0</v>
      </c>
      <c r="H57" s="30">
        <f t="shared" si="89"/>
        <v>0</v>
      </c>
      <c r="I57" s="30">
        <f t="shared" si="8"/>
        <v>0</v>
      </c>
      <c r="J57" s="30">
        <f t="shared" si="26"/>
        <v>1399687.5623851561</v>
      </c>
      <c r="K57" s="30">
        <f t="shared" si="91"/>
        <v>977405.65492499992</v>
      </c>
      <c r="L57" s="30">
        <v>0</v>
      </c>
      <c r="M57" s="30">
        <f t="shared" si="82"/>
        <v>3107724.3193294662</v>
      </c>
      <c r="N57" s="30">
        <f t="shared" si="86"/>
        <v>1404547.5886434379</v>
      </c>
      <c r="O57" s="30"/>
      <c r="P57" s="30">
        <f t="shared" si="11"/>
        <v>40400416.151283056</v>
      </c>
      <c r="Q57" s="30"/>
      <c r="R57" s="30"/>
      <c r="S57" s="30"/>
      <c r="T57" s="30"/>
      <c r="U57" s="30">
        <f t="shared" si="92"/>
        <v>0</v>
      </c>
      <c r="V57" s="30">
        <f t="shared" si="90"/>
        <v>40400416.151283056</v>
      </c>
      <c r="W57" s="30">
        <f t="shared" si="93"/>
        <v>2094440.689125</v>
      </c>
      <c r="X57" s="30">
        <v>0</v>
      </c>
      <c r="Y57" s="30">
        <f t="shared" si="60"/>
        <v>186172.50570000001</v>
      </c>
      <c r="Z57" s="30">
        <f t="shared" si="94"/>
        <v>2280613.1948250001</v>
      </c>
      <c r="AA57" s="30"/>
      <c r="AB57" s="30"/>
      <c r="AC57" s="30"/>
      <c r="AD57" s="30"/>
      <c r="AE57" s="30">
        <f t="shared" si="95"/>
        <v>0</v>
      </c>
      <c r="AF57" s="30">
        <f t="shared" si="96"/>
        <v>2280613.1948250001</v>
      </c>
      <c r="AG57" s="30">
        <f t="shared" si="28"/>
        <v>4021326.1231200001</v>
      </c>
      <c r="AH57" s="30">
        <f t="shared" si="29"/>
        <v>2855362.6272657188</v>
      </c>
      <c r="AI57" s="30">
        <f t="shared" si="30"/>
        <v>2799375.1247703121</v>
      </c>
      <c r="AJ57" s="31">
        <f t="shared" si="16"/>
        <v>1549981.5121293729</v>
      </c>
      <c r="AK57" s="31">
        <f t="shared" si="17"/>
        <v>224548.50945967229</v>
      </c>
      <c r="AL57" s="30">
        <f t="shared" si="18"/>
        <v>1174049.6312726722</v>
      </c>
      <c r="AM57" s="31">
        <f t="shared" si="19"/>
        <v>219060.64331569968</v>
      </c>
      <c r="AN57" s="31">
        <f t="shared" si="20"/>
        <v>219060.64331569968</v>
      </c>
      <c r="AO57" s="30">
        <f t="shared" si="21"/>
        <v>403191.25901965133</v>
      </c>
      <c r="AP57" s="30">
        <v>0</v>
      </c>
      <c r="AQ57" s="32">
        <f t="shared" si="97"/>
        <v>13465956.073668797</v>
      </c>
      <c r="AR57" s="31">
        <f t="shared" si="22"/>
        <v>145643.49764625548</v>
      </c>
      <c r="AS57" s="31">
        <f t="shared" si="23"/>
        <v>137368.3640543799</v>
      </c>
      <c r="AT57" s="31">
        <f t="shared" si="98"/>
        <v>283011.8617006354</v>
      </c>
      <c r="AU57" s="33">
        <f t="shared" si="99"/>
        <v>56146985.419776857</v>
      </c>
    </row>
    <row r="58" spans="1:47" ht="15" customHeight="1" x14ac:dyDescent="0.2">
      <c r="A58" s="41" t="s">
        <v>82</v>
      </c>
      <c r="B58" s="78" t="s">
        <v>106</v>
      </c>
      <c r="C58" s="35">
        <v>4</v>
      </c>
      <c r="D58" s="30">
        <v>1047281.7823</v>
      </c>
      <c r="E58" s="30">
        <f t="shared" si="88"/>
        <v>50269525.550399996</v>
      </c>
      <c r="F58" s="30">
        <v>0</v>
      </c>
      <c r="G58" s="30">
        <v>0</v>
      </c>
      <c r="H58" s="30">
        <f>(IF(D58&gt;=1890567,0,68081))*12</f>
        <v>816972</v>
      </c>
      <c r="I58" s="30">
        <f t="shared" si="8"/>
        <v>1277448</v>
      </c>
      <c r="J58" s="30">
        <f t="shared" si="26"/>
        <v>2189103.854754861</v>
      </c>
      <c r="K58" s="30">
        <f t="shared" si="91"/>
        <v>2094563.5645999999</v>
      </c>
      <c r="L58" s="30">
        <f>+((((D58/30)/8)*50)*12)*C58</f>
        <v>10472817.822999999</v>
      </c>
      <c r="M58" s="30">
        <f t="shared" si="82"/>
        <v>4729158.1566300793</v>
      </c>
      <c r="N58" s="30">
        <f t="shared" si="86"/>
        <v>2196704.9098060927</v>
      </c>
      <c r="O58" s="30"/>
      <c r="P58" s="30">
        <f t="shared" si="11"/>
        <v>74046293.85919103</v>
      </c>
      <c r="Q58" s="30"/>
      <c r="R58" s="30"/>
      <c r="S58" s="30"/>
      <c r="T58" s="30"/>
      <c r="U58" s="30">
        <f t="shared" si="92"/>
        <v>0</v>
      </c>
      <c r="V58" s="30">
        <f t="shared" si="90"/>
        <v>74046293.85919103</v>
      </c>
      <c r="W58" s="30">
        <f t="shared" si="93"/>
        <v>3141845.3468999998</v>
      </c>
      <c r="X58" s="30">
        <v>0</v>
      </c>
      <c r="Y58" s="30">
        <f t="shared" si="60"/>
        <v>279275.14194666664</v>
      </c>
      <c r="Z58" s="30">
        <f t="shared" si="94"/>
        <v>3421120.4888466662</v>
      </c>
      <c r="AA58" s="30"/>
      <c r="AB58" s="30"/>
      <c r="AC58" s="30"/>
      <c r="AD58" s="30"/>
      <c r="AE58" s="30">
        <f t="shared" si="95"/>
        <v>0</v>
      </c>
      <c r="AF58" s="30">
        <f t="shared" si="96"/>
        <v>3421120.4888466662</v>
      </c>
      <c r="AG58" s="30">
        <f t="shared" si="28"/>
        <v>6424489.6260480005</v>
      </c>
      <c r="AH58" s="30">
        <f t="shared" si="29"/>
        <v>4465771.8636999168</v>
      </c>
      <c r="AI58" s="30">
        <f t="shared" si="30"/>
        <v>4378207.709509722</v>
      </c>
      <c r="AJ58" s="31">
        <f t="shared" si="16"/>
        <v>2325108.6683668112</v>
      </c>
      <c r="AK58" s="31">
        <f t="shared" si="17"/>
        <v>336842.52471906436</v>
      </c>
      <c r="AL58" s="30">
        <f t="shared" si="18"/>
        <v>1761177.7646397504</v>
      </c>
      <c r="AM58" s="31">
        <f t="shared" si="19"/>
        <v>328610.24256451277</v>
      </c>
      <c r="AN58" s="31">
        <f t="shared" si="20"/>
        <v>328610.24256451277</v>
      </c>
      <c r="AO58" s="30">
        <f t="shared" si="21"/>
        <v>604822.36982841627</v>
      </c>
      <c r="AP58" s="30">
        <v>0</v>
      </c>
      <c r="AQ58" s="32">
        <f t="shared" si="97"/>
        <v>20953641.01194071</v>
      </c>
      <c r="AR58" s="31">
        <f t="shared" si="22"/>
        <v>218478.06326628287</v>
      </c>
      <c r="AS58" s="31">
        <f t="shared" si="23"/>
        <v>206064.63465710517</v>
      </c>
      <c r="AT58" s="31">
        <f t="shared" si="98"/>
        <v>424542.69792338804</v>
      </c>
      <c r="AU58" s="33">
        <f t="shared" si="99"/>
        <v>98421055.359978408</v>
      </c>
    </row>
    <row r="59" spans="1:47" ht="15" customHeight="1" x14ac:dyDescent="0.2">
      <c r="A59" s="41" t="s">
        <v>82</v>
      </c>
      <c r="B59" s="78" t="s">
        <v>109</v>
      </c>
      <c r="C59" s="35">
        <v>14</v>
      </c>
      <c r="D59" s="30">
        <v>1420772.9473999999</v>
      </c>
      <c r="E59" s="30">
        <f t="shared" si="88"/>
        <v>238689855.16319999</v>
      </c>
      <c r="F59" s="30">
        <v>0</v>
      </c>
      <c r="G59" s="30">
        <v>0</v>
      </c>
      <c r="H59" s="30">
        <f t="shared" ref="H59:H107" si="100">(IF(D59&gt;=1890567,0,68081))*12</f>
        <v>816972</v>
      </c>
      <c r="I59" s="30">
        <f t="shared" si="8"/>
        <v>1277448</v>
      </c>
      <c r="J59" s="30">
        <f t="shared" si="26"/>
        <v>10067210.807604861</v>
      </c>
      <c r="K59" s="30">
        <f t="shared" si="91"/>
        <v>9945410.6317999996</v>
      </c>
      <c r="L59" s="30">
        <f t="shared" ref="L59:L61" si="101">+((((D59/30)/8)*50)*12)*C59</f>
        <v>49727053.158999994</v>
      </c>
      <c r="M59" s="30">
        <f t="shared" si="82"/>
        <v>22400386.916940972</v>
      </c>
      <c r="N59" s="30">
        <f t="shared" si="86"/>
        <v>10102166.400686821</v>
      </c>
      <c r="O59" s="30"/>
      <c r="P59" s="30">
        <f t="shared" si="11"/>
        <v>343026503.07923263</v>
      </c>
      <c r="Q59" s="30"/>
      <c r="R59" s="30"/>
      <c r="S59" s="30"/>
      <c r="T59" s="30"/>
      <c r="U59" s="30">
        <f t="shared" si="92"/>
        <v>0</v>
      </c>
      <c r="V59" s="30">
        <f t="shared" si="90"/>
        <v>343026503.07923263</v>
      </c>
      <c r="W59" s="30">
        <f t="shared" si="93"/>
        <v>14918115.947699998</v>
      </c>
      <c r="X59" s="30">
        <v>0</v>
      </c>
      <c r="Y59" s="30">
        <f t="shared" si="60"/>
        <v>1326054.7509066667</v>
      </c>
      <c r="Z59" s="30">
        <f t="shared" si="94"/>
        <v>16244170.698606664</v>
      </c>
      <c r="AA59" s="30"/>
      <c r="AB59" s="30"/>
      <c r="AC59" s="30"/>
      <c r="AD59" s="30"/>
      <c r="AE59" s="30">
        <f t="shared" si="95"/>
        <v>0</v>
      </c>
      <c r="AF59" s="30">
        <f t="shared" si="96"/>
        <v>16244170.698606664</v>
      </c>
      <c r="AG59" s="30">
        <f t="shared" si="28"/>
        <v>30015295.579583999</v>
      </c>
      <c r="AH59" s="30">
        <f t="shared" si="29"/>
        <v>20537110.047513917</v>
      </c>
      <c r="AI59" s="30">
        <f t="shared" si="30"/>
        <v>20134421.615209721</v>
      </c>
      <c r="AJ59" s="31">
        <f t="shared" si="16"/>
        <v>11040085.324353315</v>
      </c>
      <c r="AK59" s="31">
        <f t="shared" si="17"/>
        <v>1599396.3053697515</v>
      </c>
      <c r="AL59" s="30">
        <f t="shared" si="18"/>
        <v>8362427.5533900559</v>
      </c>
      <c r="AM59" s="31">
        <f t="shared" si="19"/>
        <v>1560307.7678588405</v>
      </c>
      <c r="AN59" s="31">
        <f t="shared" si="20"/>
        <v>1560307.7678588405</v>
      </c>
      <c r="AO59" s="30">
        <f t="shared" si="21"/>
        <v>2871818.7067245827</v>
      </c>
      <c r="AP59" s="30">
        <v>0</v>
      </c>
      <c r="AQ59" s="32">
        <f t="shared" si="97"/>
        <v>97681170.667863011</v>
      </c>
      <c r="AR59" s="31">
        <f t="shared" si="22"/>
        <v>1037377.9482975556</v>
      </c>
      <c r="AS59" s="31">
        <f t="shared" si="23"/>
        <v>978436.48337697075</v>
      </c>
      <c r="AT59" s="31">
        <f t="shared" si="98"/>
        <v>2015814.4316745263</v>
      </c>
      <c r="AU59" s="33">
        <f t="shared" si="99"/>
        <v>456951844.44570231</v>
      </c>
    </row>
    <row r="60" spans="1:47" ht="15" customHeight="1" x14ac:dyDescent="0.2">
      <c r="A60" s="41" t="s">
        <v>83</v>
      </c>
      <c r="B60" s="78" t="s">
        <v>111</v>
      </c>
      <c r="C60" s="35">
        <v>1</v>
      </c>
      <c r="D60" s="30">
        <v>1552338</v>
      </c>
      <c r="E60" s="30">
        <f t="shared" si="88"/>
        <v>18628056</v>
      </c>
      <c r="F60" s="30">
        <v>0</v>
      </c>
      <c r="G60" s="30">
        <v>0</v>
      </c>
      <c r="H60" s="30">
        <f t="shared" si="100"/>
        <v>816972</v>
      </c>
      <c r="I60" s="30">
        <f t="shared" si="8"/>
        <v>1277448</v>
      </c>
      <c r="J60" s="30">
        <f t="shared" si="26"/>
        <v>866131.53125</v>
      </c>
      <c r="K60" s="30">
        <f t="shared" si="91"/>
        <v>776169</v>
      </c>
      <c r="L60" s="30">
        <f t="shared" si="101"/>
        <v>3880845</v>
      </c>
      <c r="M60" s="30">
        <f t="shared" si="82"/>
        <v>1761624.6219708479</v>
      </c>
      <c r="N60" s="30">
        <f t="shared" si="86"/>
        <v>869138.93240017362</v>
      </c>
      <c r="O60" s="30"/>
      <c r="P60" s="30">
        <f t="shared" si="11"/>
        <v>28876385.085621022</v>
      </c>
      <c r="Q60" s="30"/>
      <c r="R60" s="30"/>
      <c r="S60" s="30"/>
      <c r="T60" s="30"/>
      <c r="U60" s="30">
        <f t="shared" si="92"/>
        <v>0</v>
      </c>
      <c r="V60" s="30">
        <f t="shared" si="90"/>
        <v>28876385.085621022</v>
      </c>
      <c r="W60" s="30">
        <f t="shared" si="93"/>
        <v>1164253.5</v>
      </c>
      <c r="X60" s="30">
        <v>0</v>
      </c>
      <c r="Y60" s="30">
        <f t="shared" si="60"/>
        <v>103489.2</v>
      </c>
      <c r="Z60" s="30">
        <f t="shared" si="94"/>
        <v>1267742.7</v>
      </c>
      <c r="AA60" s="30"/>
      <c r="AB60" s="30"/>
      <c r="AC60" s="30"/>
      <c r="AD60" s="30"/>
      <c r="AE60" s="30">
        <f t="shared" si="95"/>
        <v>0</v>
      </c>
      <c r="AF60" s="30">
        <f t="shared" si="96"/>
        <v>1267742.7</v>
      </c>
      <c r="AG60" s="30">
        <f t="shared" si="28"/>
        <v>2333403.36</v>
      </c>
      <c r="AH60" s="30">
        <f t="shared" si="29"/>
        <v>1766908.3237500002</v>
      </c>
      <c r="AI60" s="30">
        <f t="shared" si="30"/>
        <v>1732263.0625</v>
      </c>
      <c r="AJ60" s="31">
        <f t="shared" si="16"/>
        <v>861600.62197121256</v>
      </c>
      <c r="AK60" s="31">
        <f t="shared" si="17"/>
        <v>124821.57619246093</v>
      </c>
      <c r="AL60" s="30">
        <f t="shared" si="18"/>
        <v>652628.36015374016</v>
      </c>
      <c r="AM60" s="31">
        <f t="shared" si="19"/>
        <v>121770.99213972231</v>
      </c>
      <c r="AN60" s="31">
        <f t="shared" si="20"/>
        <v>121770.99213972231</v>
      </c>
      <c r="AO60" s="30">
        <f t="shared" si="21"/>
        <v>224125.15041385349</v>
      </c>
      <c r="AP60" s="30">
        <v>0</v>
      </c>
      <c r="AQ60" s="32">
        <f t="shared" si="97"/>
        <v>7939292.439260711</v>
      </c>
      <c r="AR60" s="31">
        <f t="shared" si="22"/>
        <v>80960.016087987053</v>
      </c>
      <c r="AS60" s="31">
        <f t="shared" si="23"/>
        <v>76360.051382692065</v>
      </c>
      <c r="AT60" s="31">
        <f t="shared" si="98"/>
        <v>157320.06747067912</v>
      </c>
      <c r="AU60" s="33">
        <f t="shared" si="99"/>
        <v>38083420.224881731</v>
      </c>
    </row>
    <row r="61" spans="1:47" ht="15" customHeight="1" x14ac:dyDescent="0.2">
      <c r="A61" s="41" t="s">
        <v>83</v>
      </c>
      <c r="B61" s="78" t="s">
        <v>112</v>
      </c>
      <c r="C61" s="35">
        <v>6</v>
      </c>
      <c r="D61" s="30">
        <v>1708377</v>
      </c>
      <c r="E61" s="30">
        <f t="shared" si="88"/>
        <v>123003144</v>
      </c>
      <c r="F61" s="30">
        <v>0</v>
      </c>
      <c r="G61" s="30">
        <v>0</v>
      </c>
      <c r="H61" s="30">
        <f t="shared" si="100"/>
        <v>816972</v>
      </c>
      <c r="I61" s="30">
        <f t="shared" si="8"/>
        <v>1277448</v>
      </c>
      <c r="J61" s="30">
        <f t="shared" si="26"/>
        <v>5224855.4156249994</v>
      </c>
      <c r="K61" s="30">
        <f t="shared" si="91"/>
        <v>3587591.6999999997</v>
      </c>
      <c r="L61" s="30">
        <f t="shared" si="101"/>
        <v>25625655</v>
      </c>
      <c r="M61" s="30">
        <f t="shared" si="82"/>
        <v>11421549.032527668</v>
      </c>
      <c r="N61" s="30">
        <f t="shared" si="86"/>
        <v>5242997.2747070314</v>
      </c>
      <c r="O61" s="30"/>
      <c r="P61" s="30">
        <f t="shared" si="11"/>
        <v>176200212.4228597</v>
      </c>
      <c r="Q61" s="30"/>
      <c r="R61" s="30"/>
      <c r="S61" s="30"/>
      <c r="T61" s="30"/>
      <c r="U61" s="30">
        <f t="shared" si="92"/>
        <v>0</v>
      </c>
      <c r="V61" s="30">
        <f t="shared" si="90"/>
        <v>176200212.4228597</v>
      </c>
      <c r="W61" s="30">
        <f t="shared" si="93"/>
        <v>7687696.5000000009</v>
      </c>
      <c r="X61" s="30">
        <v>0</v>
      </c>
      <c r="Y61" s="30">
        <f t="shared" si="60"/>
        <v>683350.8</v>
      </c>
      <c r="Z61" s="30">
        <f t="shared" si="94"/>
        <v>8371047.3000000007</v>
      </c>
      <c r="AA61" s="30"/>
      <c r="AB61" s="30"/>
      <c r="AC61" s="30"/>
      <c r="AD61" s="30"/>
      <c r="AE61" s="30">
        <f t="shared" si="95"/>
        <v>0</v>
      </c>
      <c r="AF61" s="30">
        <f t="shared" si="96"/>
        <v>8371047.3000000007</v>
      </c>
      <c r="AG61" s="30">
        <f t="shared" si="28"/>
        <v>15348597.120000001</v>
      </c>
      <c r="AH61" s="30">
        <f t="shared" si="29"/>
        <v>10658705.047875</v>
      </c>
      <c r="AI61" s="30">
        <f t="shared" si="30"/>
        <v>10449710.831249999</v>
      </c>
      <c r="AJ61" s="31">
        <f t="shared" si="16"/>
        <v>5689245.5860565705</v>
      </c>
      <c r="AK61" s="31">
        <f t="shared" si="17"/>
        <v>824210.87367937062</v>
      </c>
      <c r="AL61" s="30">
        <f t="shared" si="18"/>
        <v>4309378.2927469378</v>
      </c>
      <c r="AM61" s="31">
        <f t="shared" si="19"/>
        <v>804067.52487673075</v>
      </c>
      <c r="AN61" s="31">
        <f t="shared" si="20"/>
        <v>804067.52487673075</v>
      </c>
      <c r="AO61" s="30">
        <f t="shared" si="21"/>
        <v>1479923.5169991371</v>
      </c>
      <c r="AP61" s="30">
        <v>0</v>
      </c>
      <c r="AQ61" s="32">
        <f t="shared" si="97"/>
        <v>50367906.31836047</v>
      </c>
      <c r="AR61" s="31">
        <f t="shared" si="22"/>
        <v>534588.0706560571</v>
      </c>
      <c r="AS61" s="31">
        <f t="shared" si="23"/>
        <v>504213.98755042779</v>
      </c>
      <c r="AT61" s="31">
        <f t="shared" si="98"/>
        <v>1038802.0582064849</v>
      </c>
      <c r="AU61" s="33">
        <f t="shared" si="99"/>
        <v>234939166.04122019</v>
      </c>
    </row>
    <row r="62" spans="1:47" ht="15" customHeight="1" x14ac:dyDescent="0.2">
      <c r="A62" s="41" t="s">
        <v>83</v>
      </c>
      <c r="B62" s="35">
        <v>11</v>
      </c>
      <c r="C62" s="35">
        <v>4</v>
      </c>
      <c r="D62" s="30">
        <v>1884668.6529999999</v>
      </c>
      <c r="E62" s="30">
        <f t="shared" si="88"/>
        <v>90464095.343999997</v>
      </c>
      <c r="F62" s="30">
        <v>0</v>
      </c>
      <c r="G62" s="30">
        <v>0</v>
      </c>
      <c r="H62" s="30">
        <f t="shared" si="100"/>
        <v>816972</v>
      </c>
      <c r="I62" s="30">
        <f t="shared" si="8"/>
        <v>0</v>
      </c>
      <c r="J62" s="30">
        <f t="shared" si="26"/>
        <v>3812539.3897298612</v>
      </c>
      <c r="K62" s="30">
        <f t="shared" si="91"/>
        <v>2638536.1141999997</v>
      </c>
      <c r="L62" s="30">
        <v>0</v>
      </c>
      <c r="M62" s="30">
        <f t="shared" si="82"/>
        <v>8395079.0184709858</v>
      </c>
      <c r="N62" s="30">
        <f t="shared" si="86"/>
        <v>3825777.3737219791</v>
      </c>
      <c r="O62" s="30"/>
      <c r="P62" s="30">
        <f t="shared" si="11"/>
        <v>109952999.24012281</v>
      </c>
      <c r="Q62" s="30"/>
      <c r="R62" s="30"/>
      <c r="S62" s="30"/>
      <c r="T62" s="30"/>
      <c r="U62" s="30">
        <f t="shared" si="92"/>
        <v>0</v>
      </c>
      <c r="V62" s="30">
        <f t="shared" si="90"/>
        <v>109952999.24012281</v>
      </c>
      <c r="W62" s="30">
        <f t="shared" si="93"/>
        <v>5654005.9589999998</v>
      </c>
      <c r="X62" s="30">
        <v>0</v>
      </c>
      <c r="Y62" s="30">
        <f t="shared" si="60"/>
        <v>502578.30746666662</v>
      </c>
      <c r="Z62" s="30">
        <f t="shared" si="94"/>
        <v>6156584.266466666</v>
      </c>
      <c r="AA62" s="30"/>
      <c r="AB62" s="30"/>
      <c r="AC62" s="30"/>
      <c r="AD62" s="30"/>
      <c r="AE62" s="30">
        <f t="shared" si="95"/>
        <v>0</v>
      </c>
      <c r="AF62" s="30">
        <f t="shared" si="96"/>
        <v>6156584.266466666</v>
      </c>
      <c r="AG62" s="30">
        <f t="shared" si="28"/>
        <v>11247838.001279999</v>
      </c>
      <c r="AH62" s="30">
        <f t="shared" si="29"/>
        <v>7777580.3550489172</v>
      </c>
      <c r="AI62" s="30">
        <f t="shared" si="30"/>
        <v>7625078.7794597223</v>
      </c>
      <c r="AJ62" s="31">
        <f t="shared" si="16"/>
        <v>4184221.9507206473</v>
      </c>
      <c r="AK62" s="31">
        <f t="shared" si="17"/>
        <v>606175.48979148152</v>
      </c>
      <c r="AL62" s="30">
        <f t="shared" si="18"/>
        <v>3169382.4732514392</v>
      </c>
      <c r="AM62" s="31">
        <f t="shared" si="19"/>
        <v>591360.8292277687</v>
      </c>
      <c r="AN62" s="31">
        <f t="shared" si="20"/>
        <v>591360.8292277687</v>
      </c>
      <c r="AO62" s="30">
        <f t="shared" si="21"/>
        <v>1088426.9929200974</v>
      </c>
      <c r="AP62" s="30">
        <v>0</v>
      </c>
      <c r="AQ62" s="32">
        <f t="shared" si="97"/>
        <v>36881425.700927846</v>
      </c>
      <c r="AR62" s="31">
        <f t="shared" si="22"/>
        <v>393169.02496081369</v>
      </c>
      <c r="AS62" s="31">
        <f t="shared" si="23"/>
        <v>370830.05165738141</v>
      </c>
      <c r="AT62" s="31">
        <f t="shared" si="98"/>
        <v>763999.07661819505</v>
      </c>
      <c r="AU62" s="33">
        <f t="shared" si="99"/>
        <v>152991009.20751733</v>
      </c>
    </row>
    <row r="63" spans="1:47" ht="15" customHeight="1" x14ac:dyDescent="0.2">
      <c r="A63" s="41" t="s">
        <v>83</v>
      </c>
      <c r="B63" s="35">
        <v>12</v>
      </c>
      <c r="C63" s="35">
        <v>4</v>
      </c>
      <c r="D63" s="30">
        <v>1998522.6568</v>
      </c>
      <c r="E63" s="30">
        <f t="shared" si="88"/>
        <v>95929087.5264</v>
      </c>
      <c r="F63" s="30">
        <v>0</v>
      </c>
      <c r="G63" s="30">
        <v>0</v>
      </c>
      <c r="H63" s="30">
        <f t="shared" si="100"/>
        <v>0</v>
      </c>
      <c r="I63" s="30">
        <f t="shared" si="8"/>
        <v>0</v>
      </c>
      <c r="J63" s="30">
        <f t="shared" si="26"/>
        <v>4006760.3542927778</v>
      </c>
      <c r="K63" s="30">
        <f t="shared" si="91"/>
        <v>2797931.7195199998</v>
      </c>
      <c r="L63" s="30">
        <v>0</v>
      </c>
      <c r="M63" s="30">
        <f t="shared" si="82"/>
        <v>8896204.3597372379</v>
      </c>
      <c r="N63" s="30">
        <f t="shared" si="86"/>
        <v>4020672.7166340719</v>
      </c>
      <c r="O63" s="30"/>
      <c r="P63" s="30">
        <f t="shared" si="11"/>
        <v>115650656.67658408</v>
      </c>
      <c r="Q63" s="30"/>
      <c r="R63" s="30"/>
      <c r="S63" s="30"/>
      <c r="T63" s="30"/>
      <c r="U63" s="30">
        <f t="shared" si="92"/>
        <v>0</v>
      </c>
      <c r="V63" s="30">
        <f t="shared" si="90"/>
        <v>115650656.67658408</v>
      </c>
      <c r="W63" s="30">
        <f t="shared" si="93"/>
        <v>5995567.9704</v>
      </c>
      <c r="X63" s="30">
        <v>0</v>
      </c>
      <c r="Y63" s="30">
        <f t="shared" si="60"/>
        <v>532939.37514666666</v>
      </c>
      <c r="Z63" s="30">
        <f t="shared" si="94"/>
        <v>6528507.3455466665</v>
      </c>
      <c r="AA63" s="30"/>
      <c r="AB63" s="30"/>
      <c r="AC63" s="30"/>
      <c r="AD63" s="30"/>
      <c r="AE63" s="30">
        <f t="shared" si="95"/>
        <v>0</v>
      </c>
      <c r="AF63" s="30">
        <f t="shared" si="96"/>
        <v>6528507.3455466665</v>
      </c>
      <c r="AG63" s="30">
        <f t="shared" si="28"/>
        <v>11511490.503167998</v>
      </c>
      <c r="AH63" s="30">
        <f t="shared" si="29"/>
        <v>8173791.1227572672</v>
      </c>
      <c r="AI63" s="30">
        <f t="shared" si="30"/>
        <v>8013520.7085855557</v>
      </c>
      <c r="AJ63" s="31">
        <f t="shared" si="16"/>
        <v>4436993.397372067</v>
      </c>
      <c r="AK63" s="31">
        <f t="shared" si="17"/>
        <v>642794.92759468779</v>
      </c>
      <c r="AL63" s="30">
        <f t="shared" si="18"/>
        <v>3360846.8368035313</v>
      </c>
      <c r="AM63" s="31">
        <f t="shared" si="19"/>
        <v>627085.3041856857</v>
      </c>
      <c r="AN63" s="31">
        <f t="shared" si="20"/>
        <v>627085.3041856857</v>
      </c>
      <c r="AO63" s="30">
        <f t="shared" si="21"/>
        <v>1154179.5435292933</v>
      </c>
      <c r="AP63" s="30">
        <v>0</v>
      </c>
      <c r="AQ63" s="32">
        <f t="shared" si="97"/>
        <v>38547787.648181781</v>
      </c>
      <c r="AR63" s="31">
        <f t="shared" si="22"/>
        <v>416920.6099360697</v>
      </c>
      <c r="AS63" s="31">
        <f t="shared" si="23"/>
        <v>393232.12538177194</v>
      </c>
      <c r="AT63" s="31">
        <f t="shared" si="98"/>
        <v>810152.73531784164</v>
      </c>
      <c r="AU63" s="33">
        <f t="shared" si="99"/>
        <v>160726951.67031252</v>
      </c>
    </row>
    <row r="64" spans="1:47" ht="15" customHeight="1" x14ac:dyDescent="0.2">
      <c r="A64" s="41" t="s">
        <v>83</v>
      </c>
      <c r="B64" s="35">
        <v>13</v>
      </c>
      <c r="C64" s="35">
        <v>2</v>
      </c>
      <c r="D64" s="30">
        <v>2131262</v>
      </c>
      <c r="E64" s="30">
        <f t="shared" si="88"/>
        <v>51150288</v>
      </c>
      <c r="F64" s="30">
        <v>0</v>
      </c>
      <c r="G64" s="30">
        <v>0</v>
      </c>
      <c r="H64" s="30">
        <f t="shared" si="100"/>
        <v>0</v>
      </c>
      <c r="I64" s="30">
        <f t="shared" si="8"/>
        <v>0</v>
      </c>
      <c r="J64" s="30">
        <f t="shared" si="26"/>
        <v>2136442.1506944443</v>
      </c>
      <c r="K64" s="30">
        <f t="shared" si="91"/>
        <v>1491883.4</v>
      </c>
      <c r="L64" s="30">
        <v>0</v>
      </c>
      <c r="M64" s="30">
        <f t="shared" si="82"/>
        <v>4743539.4919417519</v>
      </c>
      <c r="N64" s="30">
        <f t="shared" si="86"/>
        <v>2143860.3526065778</v>
      </c>
      <c r="O64" s="30"/>
      <c r="P64" s="30">
        <f t="shared" si="11"/>
        <v>61666013.395242773</v>
      </c>
      <c r="Q64" s="30"/>
      <c r="R64" s="30"/>
      <c r="S64" s="30"/>
      <c r="T64" s="30"/>
      <c r="U64" s="30">
        <f t="shared" si="92"/>
        <v>0</v>
      </c>
      <c r="V64" s="30">
        <f t="shared" si="90"/>
        <v>61666013.395242773</v>
      </c>
      <c r="W64" s="30">
        <f t="shared" si="93"/>
        <v>3196893</v>
      </c>
      <c r="X64" s="30">
        <v>0</v>
      </c>
      <c r="Y64" s="30">
        <f t="shared" si="60"/>
        <v>284168.26666666666</v>
      </c>
      <c r="Z64" s="30">
        <f t="shared" si="94"/>
        <v>3481061.2666666666</v>
      </c>
      <c r="AA64" s="30"/>
      <c r="AB64" s="30"/>
      <c r="AC64" s="30"/>
      <c r="AD64" s="30"/>
      <c r="AE64" s="30">
        <f t="shared" si="95"/>
        <v>0</v>
      </c>
      <c r="AF64" s="30">
        <f t="shared" si="96"/>
        <v>3481061.2666666666</v>
      </c>
      <c r="AG64" s="30">
        <f t="shared" si="28"/>
        <v>6138034.5600000005</v>
      </c>
      <c r="AH64" s="30">
        <f t="shared" si="29"/>
        <v>4358341.9874166669</v>
      </c>
      <c r="AI64" s="30">
        <f t="shared" si="30"/>
        <v>4272884.3013888886</v>
      </c>
      <c r="AJ64" s="31">
        <f t="shared" si="16"/>
        <v>2365846.4390920149</v>
      </c>
      <c r="AK64" s="31">
        <f t="shared" si="17"/>
        <v>342744.27620672388</v>
      </c>
      <c r="AL64" s="30">
        <f t="shared" si="18"/>
        <v>1792035.013145308</v>
      </c>
      <c r="AM64" s="31">
        <f t="shared" si="19"/>
        <v>334367.75785903441</v>
      </c>
      <c r="AN64" s="31">
        <f t="shared" si="20"/>
        <v>334367.75785903441</v>
      </c>
      <c r="AO64" s="30">
        <f t="shared" si="21"/>
        <v>615419.34336636763</v>
      </c>
      <c r="AP64" s="30">
        <v>0</v>
      </c>
      <c r="AQ64" s="32">
        <f t="shared" si="97"/>
        <v>20554041.436334036</v>
      </c>
      <c r="AR64" s="31">
        <f t="shared" si="22"/>
        <v>222305.97435315693</v>
      </c>
      <c r="AS64" s="31">
        <f t="shared" si="23"/>
        <v>209675.05250786757</v>
      </c>
      <c r="AT64" s="31">
        <f t="shared" si="98"/>
        <v>431981.0268610245</v>
      </c>
      <c r="AU64" s="33">
        <f t="shared" si="99"/>
        <v>85701116.098243475</v>
      </c>
    </row>
    <row r="65" spans="1:47" ht="15" customHeight="1" x14ac:dyDescent="0.2">
      <c r="A65" s="41" t="s">
        <v>83</v>
      </c>
      <c r="B65" s="35">
        <v>14</v>
      </c>
      <c r="C65" s="35">
        <v>1</v>
      </c>
      <c r="D65" s="30">
        <v>2209108</v>
      </c>
      <c r="E65" s="30">
        <f t="shared" si="88"/>
        <v>26509296</v>
      </c>
      <c r="F65" s="30">
        <v>0</v>
      </c>
      <c r="G65" s="30">
        <v>0</v>
      </c>
      <c r="H65" s="30">
        <f t="shared" si="100"/>
        <v>0</v>
      </c>
      <c r="I65" s="30">
        <f t="shared" si="8"/>
        <v>0</v>
      </c>
      <c r="J65" s="30">
        <f t="shared" si="26"/>
        <v>1107238.6798611111</v>
      </c>
      <c r="K65" s="30">
        <f t="shared" si="91"/>
        <v>773187.79999999993</v>
      </c>
      <c r="L65" s="30">
        <v>0</v>
      </c>
      <c r="M65" s="30">
        <f t="shared" si="82"/>
        <v>2458400.4782059789</v>
      </c>
      <c r="N65" s="30">
        <f t="shared" si="86"/>
        <v>1111083.2586106288</v>
      </c>
      <c r="O65" s="30"/>
      <c r="P65" s="30">
        <f t="shared" si="11"/>
        <v>31959206.216677718</v>
      </c>
      <c r="Q65" s="30"/>
      <c r="R65" s="30"/>
      <c r="S65" s="30"/>
      <c r="T65" s="30"/>
      <c r="U65" s="30">
        <f t="shared" si="92"/>
        <v>0</v>
      </c>
      <c r="V65" s="30">
        <f t="shared" si="90"/>
        <v>31959206.216677718</v>
      </c>
      <c r="W65" s="30">
        <f t="shared" si="93"/>
        <v>1656831</v>
      </c>
      <c r="X65" s="30">
        <v>0</v>
      </c>
      <c r="Y65" s="30">
        <f t="shared" si="60"/>
        <v>147273.86666666667</v>
      </c>
      <c r="Z65" s="30">
        <f t="shared" si="94"/>
        <v>1804104.8666666667</v>
      </c>
      <c r="AA65" s="30"/>
      <c r="AB65" s="30"/>
      <c r="AC65" s="30"/>
      <c r="AD65" s="30"/>
      <c r="AE65" s="30">
        <f t="shared" si="95"/>
        <v>0</v>
      </c>
      <c r="AF65" s="30">
        <f t="shared" si="96"/>
        <v>1804104.8666666667</v>
      </c>
      <c r="AG65" s="30">
        <f t="shared" si="28"/>
        <v>3181115.5199999996</v>
      </c>
      <c r="AH65" s="30">
        <f t="shared" si="29"/>
        <v>2258766.9069166668</v>
      </c>
      <c r="AI65" s="30">
        <f t="shared" si="30"/>
        <v>2214477.3597222222</v>
      </c>
      <c r="AJ65" s="31">
        <f t="shared" si="16"/>
        <v>1226130.40897123</v>
      </c>
      <c r="AK65" s="31">
        <f t="shared" si="17"/>
        <v>177631.63856027165</v>
      </c>
      <c r="AL65" s="30">
        <f t="shared" si="18"/>
        <v>928745.24197855662</v>
      </c>
      <c r="AM65" s="31">
        <f t="shared" si="19"/>
        <v>173290.39996688717</v>
      </c>
      <c r="AN65" s="31">
        <f t="shared" si="20"/>
        <v>173290.39996688717</v>
      </c>
      <c r="AO65" s="30">
        <f t="shared" si="21"/>
        <v>318949.00645377941</v>
      </c>
      <c r="AP65" s="30">
        <v>0</v>
      </c>
      <c r="AQ65" s="32">
        <f t="shared" si="97"/>
        <v>10652396.882536497</v>
      </c>
      <c r="AR65" s="31">
        <f t="shared" si="22"/>
        <v>115212.93637088116</v>
      </c>
      <c r="AS65" s="31">
        <f t="shared" si="23"/>
        <v>108666.79833252559</v>
      </c>
      <c r="AT65" s="31">
        <f t="shared" si="98"/>
        <v>223879.73470340675</v>
      </c>
      <c r="AU65" s="33">
        <f t="shared" si="99"/>
        <v>44415707.965880886</v>
      </c>
    </row>
    <row r="66" spans="1:47" ht="15" customHeight="1" x14ac:dyDescent="0.2">
      <c r="A66" s="41" t="s">
        <v>83</v>
      </c>
      <c r="B66" s="35">
        <v>15</v>
      </c>
      <c r="C66" s="35">
        <v>18</v>
      </c>
      <c r="D66" s="30">
        <v>2308790.6704000002</v>
      </c>
      <c r="E66" s="30">
        <f t="shared" si="88"/>
        <v>498698784.80640006</v>
      </c>
      <c r="F66" s="30">
        <v>0</v>
      </c>
      <c r="G66" s="30">
        <v>0</v>
      </c>
      <c r="H66" s="30">
        <f t="shared" si="100"/>
        <v>0</v>
      </c>
      <c r="I66" s="30">
        <f t="shared" si="8"/>
        <v>0</v>
      </c>
      <c r="J66" s="30">
        <f t="shared" si="26"/>
        <v>20829620.829515003</v>
      </c>
      <c r="K66" s="30">
        <f t="shared" si="91"/>
        <v>14545381.223520001</v>
      </c>
      <c r="L66" s="30">
        <v>0</v>
      </c>
      <c r="M66" s="30">
        <f t="shared" si="82"/>
        <v>46247977.730106235</v>
      </c>
      <c r="N66" s="30">
        <f t="shared" si="86"/>
        <v>20901945.901839707</v>
      </c>
      <c r="O66" s="30"/>
      <c r="P66" s="30">
        <f t="shared" si="11"/>
        <v>601223710.49138093</v>
      </c>
      <c r="Q66" s="30"/>
      <c r="R66" s="30"/>
      <c r="S66" s="30"/>
      <c r="T66" s="30"/>
      <c r="U66" s="30">
        <f t="shared" si="92"/>
        <v>0</v>
      </c>
      <c r="V66" s="30">
        <f t="shared" si="90"/>
        <v>601223710.49138093</v>
      </c>
      <c r="W66" s="30">
        <f t="shared" si="93"/>
        <v>31168674.050400004</v>
      </c>
      <c r="X66" s="30">
        <v>0</v>
      </c>
      <c r="Y66" s="30">
        <f t="shared" si="60"/>
        <v>2770548.8044799999</v>
      </c>
      <c r="Z66" s="30">
        <f t="shared" si="94"/>
        <v>33939222.854880005</v>
      </c>
      <c r="AA66" s="30"/>
      <c r="AB66" s="30"/>
      <c r="AC66" s="30"/>
      <c r="AD66" s="30"/>
      <c r="AE66" s="30">
        <f t="shared" si="95"/>
        <v>0</v>
      </c>
      <c r="AF66" s="30">
        <f t="shared" si="96"/>
        <v>33939222.854880005</v>
      </c>
      <c r="AG66" s="30">
        <f t="shared" si="28"/>
        <v>59843854.176768005</v>
      </c>
      <c r="AH66" s="30">
        <f t="shared" si="29"/>
        <v>42492426.492210612</v>
      </c>
      <c r="AI66" s="30">
        <f t="shared" si="30"/>
        <v>41659241.659030005</v>
      </c>
      <c r="AJ66" s="31">
        <f t="shared" si="16"/>
        <v>23066238.536403481</v>
      </c>
      <c r="AK66" s="31">
        <f t="shared" si="17"/>
        <v>3341645.9755542786</v>
      </c>
      <c r="AL66" s="30">
        <f t="shared" si="18"/>
        <v>17471762.493030071</v>
      </c>
      <c r="AM66" s="31">
        <f t="shared" si="19"/>
        <v>3259977.6275500357</v>
      </c>
      <c r="AN66" s="31">
        <f t="shared" si="20"/>
        <v>3259977.6275500357</v>
      </c>
      <c r="AO66" s="30">
        <f t="shared" si="21"/>
        <v>6000139.7975151222</v>
      </c>
      <c r="AP66" s="30">
        <v>0</v>
      </c>
      <c r="AQ66" s="32">
        <f t="shared" si="97"/>
        <v>200395264.38561165</v>
      </c>
      <c r="AR66" s="31">
        <f t="shared" si="22"/>
        <v>2167411.4379399405</v>
      </c>
      <c r="AS66" s="31">
        <f t="shared" si="23"/>
        <v>2044264.0301437145</v>
      </c>
      <c r="AT66" s="31">
        <f t="shared" si="98"/>
        <v>4211675.4680836555</v>
      </c>
      <c r="AU66" s="33">
        <f t="shared" si="99"/>
        <v>835558197.73187256</v>
      </c>
    </row>
    <row r="67" spans="1:47" ht="15" customHeight="1" x14ac:dyDescent="0.2">
      <c r="A67" s="41" t="s">
        <v>83</v>
      </c>
      <c r="B67" s="35">
        <v>16</v>
      </c>
      <c r="C67" s="35">
        <v>8</v>
      </c>
      <c r="D67" s="30">
        <v>2608619</v>
      </c>
      <c r="E67" s="30">
        <f t="shared" si="88"/>
        <v>250427424</v>
      </c>
      <c r="F67" s="30">
        <v>0</v>
      </c>
      <c r="G67" s="30">
        <v>0</v>
      </c>
      <c r="H67" s="30">
        <f t="shared" si="100"/>
        <v>0</v>
      </c>
      <c r="I67" s="30">
        <f t="shared" si="8"/>
        <v>0</v>
      </c>
      <c r="J67" s="30">
        <f t="shared" si="26"/>
        <v>10459837.573611112</v>
      </c>
      <c r="K67" s="30">
        <f t="shared" si="91"/>
        <v>7304133.1999999993</v>
      </c>
      <c r="L67" s="30">
        <v>0</v>
      </c>
      <c r="M67" s="30">
        <f t="shared" si="82"/>
        <v>23223962.602307178</v>
      </c>
      <c r="N67" s="30">
        <f t="shared" si="86"/>
        <v>10496156.45407504</v>
      </c>
      <c r="O67" s="30"/>
      <c r="P67" s="30">
        <f t="shared" si="11"/>
        <v>301911513.82999331</v>
      </c>
      <c r="Q67" s="30"/>
      <c r="R67" s="30"/>
      <c r="S67" s="30"/>
      <c r="T67" s="30"/>
      <c r="U67" s="30">
        <f t="shared" si="92"/>
        <v>0</v>
      </c>
      <c r="V67" s="30">
        <f t="shared" si="90"/>
        <v>301911513.82999331</v>
      </c>
      <c r="W67" s="30">
        <f t="shared" si="93"/>
        <v>15651713.999999998</v>
      </c>
      <c r="X67" s="30">
        <v>0</v>
      </c>
      <c r="Y67" s="30">
        <f t="shared" si="60"/>
        <v>1391263.4666666666</v>
      </c>
      <c r="Z67" s="30">
        <f t="shared" si="94"/>
        <v>17042977.466666665</v>
      </c>
      <c r="AA67" s="30"/>
      <c r="AB67" s="30"/>
      <c r="AC67" s="30"/>
      <c r="AD67" s="30"/>
      <c r="AE67" s="30">
        <f t="shared" si="95"/>
        <v>0</v>
      </c>
      <c r="AF67" s="30">
        <f t="shared" si="96"/>
        <v>17042977.466666665</v>
      </c>
      <c r="AG67" s="30">
        <f t="shared" si="28"/>
        <v>30051290.879999995</v>
      </c>
      <c r="AH67" s="30">
        <f t="shared" si="29"/>
        <v>21338068.650166668</v>
      </c>
      <c r="AI67" s="30">
        <f t="shared" si="30"/>
        <v>20919675.147222225</v>
      </c>
      <c r="AJ67" s="31">
        <f t="shared" si="16"/>
        <v>11582981.298587922</v>
      </c>
      <c r="AK67" s="31">
        <f t="shared" si="17"/>
        <v>1678046.5865841138</v>
      </c>
      <c r="AL67" s="30">
        <f t="shared" si="18"/>
        <v>8773649.7604820058</v>
      </c>
      <c r="AM67" s="31">
        <f t="shared" si="19"/>
        <v>1637035.8710256671</v>
      </c>
      <c r="AN67" s="31">
        <f t="shared" si="20"/>
        <v>1637035.8710256671</v>
      </c>
      <c r="AO67" s="30">
        <f t="shared" si="21"/>
        <v>3013040.333986212</v>
      </c>
      <c r="AP67" s="30">
        <v>0</v>
      </c>
      <c r="AQ67" s="32">
        <f t="shared" si="97"/>
        <v>100630824.39908047</v>
      </c>
      <c r="AR67" s="31">
        <f t="shared" si="22"/>
        <v>1088390.9880834133</v>
      </c>
      <c r="AS67" s="31">
        <f t="shared" si="23"/>
        <v>1026551.077808399</v>
      </c>
      <c r="AT67" s="31">
        <f t="shared" si="98"/>
        <v>2114942.0658918126</v>
      </c>
      <c r="AU67" s="33">
        <f t="shared" si="99"/>
        <v>419585315.6957404</v>
      </c>
    </row>
    <row r="68" spans="1:47" ht="15" customHeight="1" x14ac:dyDescent="0.2">
      <c r="A68" s="41" t="s">
        <v>83</v>
      </c>
      <c r="B68" s="35">
        <v>17</v>
      </c>
      <c r="C68" s="35">
        <v>8</v>
      </c>
      <c r="D68" s="30">
        <v>2792587.5855</v>
      </c>
      <c r="E68" s="30">
        <f t="shared" si="88"/>
        <v>268088408.208</v>
      </c>
      <c r="F68" s="30">
        <v>0</v>
      </c>
      <c r="G68" s="30">
        <v>0</v>
      </c>
      <c r="H68" s="30">
        <f t="shared" si="100"/>
        <v>0</v>
      </c>
      <c r="I68" s="30">
        <f t="shared" si="8"/>
        <v>0</v>
      </c>
      <c r="J68" s="30">
        <f t="shared" si="26"/>
        <v>11197500.499081248</v>
      </c>
      <c r="K68" s="30">
        <f t="shared" si="91"/>
        <v>7819245.2393999994</v>
      </c>
      <c r="L68" s="30">
        <v>0</v>
      </c>
      <c r="M68" s="30">
        <f t="shared" si="82"/>
        <v>24861794.55463573</v>
      </c>
      <c r="N68" s="30">
        <f t="shared" si="86"/>
        <v>11236380.709147504</v>
      </c>
      <c r="O68" s="30"/>
      <c r="P68" s="30">
        <f t="shared" si="11"/>
        <v>323203329.21026444</v>
      </c>
      <c r="Q68" s="30"/>
      <c r="R68" s="30"/>
      <c r="S68" s="30"/>
      <c r="T68" s="30"/>
      <c r="U68" s="30">
        <f t="shared" si="92"/>
        <v>0</v>
      </c>
      <c r="V68" s="30">
        <f t="shared" si="90"/>
        <v>323203329.21026444</v>
      </c>
      <c r="W68" s="30">
        <f t="shared" si="93"/>
        <v>16755525.513</v>
      </c>
      <c r="X68" s="30">
        <v>0</v>
      </c>
      <c r="Y68" s="30">
        <f t="shared" si="60"/>
        <v>1489380.0456000001</v>
      </c>
      <c r="Z68" s="30">
        <f t="shared" si="94"/>
        <v>18244905.558600001</v>
      </c>
      <c r="AA68" s="30"/>
      <c r="AB68" s="30"/>
      <c r="AC68" s="30"/>
      <c r="AD68" s="30"/>
      <c r="AE68" s="30">
        <f t="shared" si="95"/>
        <v>0</v>
      </c>
      <c r="AF68" s="30">
        <f t="shared" si="96"/>
        <v>18244905.558600001</v>
      </c>
      <c r="AG68" s="30">
        <f t="shared" si="28"/>
        <v>32170608.984960001</v>
      </c>
      <c r="AH68" s="30">
        <f t="shared" si="29"/>
        <v>22842901.01812575</v>
      </c>
      <c r="AI68" s="30">
        <f t="shared" si="30"/>
        <v>22395000.998162497</v>
      </c>
      <c r="AJ68" s="31">
        <f t="shared" si="16"/>
        <v>12399852.097034983</v>
      </c>
      <c r="AK68" s="31">
        <f t="shared" si="17"/>
        <v>1796388.0756773783</v>
      </c>
      <c r="AL68" s="30">
        <f t="shared" si="18"/>
        <v>9392397.0501813777</v>
      </c>
      <c r="AM68" s="31">
        <f t="shared" si="19"/>
        <v>1752485.1465255974</v>
      </c>
      <c r="AN68" s="31">
        <f t="shared" si="20"/>
        <v>1752485.1465255974</v>
      </c>
      <c r="AO68" s="30">
        <f t="shared" si="21"/>
        <v>3225530.0721572107</v>
      </c>
      <c r="AP68" s="30">
        <v>0</v>
      </c>
      <c r="AQ68" s="32">
        <f t="shared" si="97"/>
        <v>107727648.58935037</v>
      </c>
      <c r="AR68" s="31">
        <f t="shared" si="22"/>
        <v>1165147.9811700438</v>
      </c>
      <c r="AS68" s="31">
        <f t="shared" si="23"/>
        <v>1098946.9124350392</v>
      </c>
      <c r="AT68" s="31">
        <f t="shared" si="98"/>
        <v>2264094.8936050832</v>
      </c>
      <c r="AU68" s="33">
        <f t="shared" si="99"/>
        <v>449175883.35821486</v>
      </c>
    </row>
    <row r="69" spans="1:47" ht="15" customHeight="1" x14ac:dyDescent="0.2">
      <c r="A69" s="41" t="s">
        <v>84</v>
      </c>
      <c r="B69" s="78" t="s">
        <v>108</v>
      </c>
      <c r="C69" s="35">
        <v>5</v>
      </c>
      <c r="D69" s="30">
        <v>1180463</v>
      </c>
      <c r="E69" s="30">
        <f t="shared" si="88"/>
        <v>70827780</v>
      </c>
      <c r="F69" s="30">
        <v>0</v>
      </c>
      <c r="G69" s="30">
        <v>0</v>
      </c>
      <c r="H69" s="30">
        <f t="shared" si="100"/>
        <v>816972</v>
      </c>
      <c r="I69" s="30">
        <f t="shared" si="8"/>
        <v>1277448</v>
      </c>
      <c r="J69" s="30">
        <f t="shared" si="26"/>
        <v>3048672.074652778</v>
      </c>
      <c r="K69" s="30">
        <f t="shared" si="91"/>
        <v>2951157.5</v>
      </c>
      <c r="L69" s="30">
        <f t="shared" ref="L69:L73" si="102">+((((D69/30)/8)*50)*12)*C69</f>
        <v>14755787.5</v>
      </c>
      <c r="M69" s="30">
        <f t="shared" si="82"/>
        <v>6657238.9430192867</v>
      </c>
      <c r="N69" s="30">
        <f t="shared" si="86"/>
        <v>3059257.7415786558</v>
      </c>
      <c r="O69" s="30"/>
      <c r="P69" s="30">
        <f t="shared" si="11"/>
        <v>103394313.75925072</v>
      </c>
      <c r="Q69" s="30"/>
      <c r="R69" s="30"/>
      <c r="S69" s="30"/>
      <c r="T69" s="30"/>
      <c r="U69" s="30">
        <f t="shared" si="92"/>
        <v>0</v>
      </c>
      <c r="V69" s="30">
        <f t="shared" si="90"/>
        <v>103394313.75925072</v>
      </c>
      <c r="W69" s="30">
        <f t="shared" si="93"/>
        <v>4426736.25</v>
      </c>
      <c r="X69" s="30">
        <v>0</v>
      </c>
      <c r="Y69" s="30">
        <f t="shared" si="60"/>
        <v>393487.66666666669</v>
      </c>
      <c r="Z69" s="30">
        <f t="shared" si="94"/>
        <v>4820223.916666667</v>
      </c>
      <c r="AA69" s="30"/>
      <c r="AB69" s="30"/>
      <c r="AC69" s="30"/>
      <c r="AD69" s="30"/>
      <c r="AE69" s="30">
        <f t="shared" si="95"/>
        <v>0</v>
      </c>
      <c r="AF69" s="30">
        <f t="shared" si="96"/>
        <v>4820223.916666667</v>
      </c>
      <c r="AG69" s="30">
        <f t="shared" si="28"/>
        <v>8989516.7999999989</v>
      </c>
      <c r="AH69" s="30">
        <f t="shared" si="29"/>
        <v>6219291.0322916675</v>
      </c>
      <c r="AI69" s="30">
        <f t="shared" si="30"/>
        <v>6097344.149305556</v>
      </c>
      <c r="AJ69" s="31">
        <f t="shared" si="16"/>
        <v>3275986.4636889752</v>
      </c>
      <c r="AK69" s="31">
        <f t="shared" si="17"/>
        <v>474597.83982895804</v>
      </c>
      <c r="AL69" s="30">
        <f t="shared" si="18"/>
        <v>2481430.0491006612</v>
      </c>
      <c r="AM69" s="31">
        <f t="shared" si="19"/>
        <v>462998.87876942073</v>
      </c>
      <c r="AN69" s="31">
        <f t="shared" si="20"/>
        <v>462998.87876942073</v>
      </c>
      <c r="AO69" s="30">
        <f t="shared" si="21"/>
        <v>852170.87848454621</v>
      </c>
      <c r="AP69" s="30">
        <v>0</v>
      </c>
      <c r="AQ69" s="32">
        <f t="shared" si="97"/>
        <v>29316334.970239203</v>
      </c>
      <c r="AR69" s="31">
        <f t="shared" si="22"/>
        <v>307826.9792766571</v>
      </c>
      <c r="AS69" s="31">
        <f t="shared" si="23"/>
        <v>290336.94767301594</v>
      </c>
      <c r="AT69" s="31">
        <f t="shared" si="98"/>
        <v>598163.9269496731</v>
      </c>
      <c r="AU69" s="33">
        <f t="shared" si="99"/>
        <v>137530872.64615658</v>
      </c>
    </row>
    <row r="70" spans="1:47" ht="15" customHeight="1" x14ac:dyDescent="0.2">
      <c r="A70" s="41" t="s">
        <v>84</v>
      </c>
      <c r="B70" s="78" t="s">
        <v>109</v>
      </c>
      <c r="C70" s="35">
        <v>2</v>
      </c>
      <c r="D70" s="30">
        <v>1420772.9473999999</v>
      </c>
      <c r="E70" s="30">
        <f t="shared" si="88"/>
        <v>34098550.737599999</v>
      </c>
      <c r="F70" s="30">
        <v>0</v>
      </c>
      <c r="G70" s="30">
        <v>0</v>
      </c>
      <c r="H70" s="30">
        <f t="shared" si="100"/>
        <v>816972</v>
      </c>
      <c r="I70" s="30">
        <f t="shared" si="8"/>
        <v>1277448</v>
      </c>
      <c r="J70" s="30">
        <f t="shared" si="26"/>
        <v>1512973.6868006943</v>
      </c>
      <c r="K70" s="30">
        <f t="shared" si="91"/>
        <v>1420772.9473999999</v>
      </c>
      <c r="L70" s="30">
        <f t="shared" si="102"/>
        <v>7103864.7369999997</v>
      </c>
      <c r="M70" s="30">
        <f t="shared" si="82"/>
        <v>3212543.7032881943</v>
      </c>
      <c r="N70" s="30">
        <f t="shared" si="86"/>
        <v>1518227.0676576411</v>
      </c>
      <c r="O70" s="30"/>
      <c r="P70" s="30">
        <f t="shared" si="11"/>
        <v>50961352.879746534</v>
      </c>
      <c r="Q70" s="30"/>
      <c r="R70" s="30"/>
      <c r="S70" s="30"/>
      <c r="T70" s="30"/>
      <c r="U70" s="30">
        <f t="shared" si="92"/>
        <v>0</v>
      </c>
      <c r="V70" s="30">
        <f t="shared" si="90"/>
        <v>50961352.879746534</v>
      </c>
      <c r="W70" s="30">
        <f t="shared" si="93"/>
        <v>2131159.4210999999</v>
      </c>
      <c r="X70" s="30">
        <v>0</v>
      </c>
      <c r="Y70" s="30">
        <f t="shared" si="60"/>
        <v>189436.39298666667</v>
      </c>
      <c r="Z70" s="30">
        <f t="shared" si="94"/>
        <v>2320595.8140866668</v>
      </c>
      <c r="AA70" s="30"/>
      <c r="AB70" s="30"/>
      <c r="AC70" s="30"/>
      <c r="AD70" s="30"/>
      <c r="AE70" s="30">
        <f t="shared" si="95"/>
        <v>0</v>
      </c>
      <c r="AF70" s="30">
        <f t="shared" si="96"/>
        <v>2320595.8140866668</v>
      </c>
      <c r="AG70" s="30">
        <f t="shared" si="28"/>
        <v>4287899.368512</v>
      </c>
      <c r="AH70" s="30">
        <f t="shared" si="29"/>
        <v>3086466.3210734166</v>
      </c>
      <c r="AI70" s="30">
        <f t="shared" si="30"/>
        <v>3025947.3736013887</v>
      </c>
      <c r="AJ70" s="31">
        <f t="shared" si="16"/>
        <v>1577155.046336188</v>
      </c>
      <c r="AK70" s="31">
        <f t="shared" si="17"/>
        <v>228485.18648139306</v>
      </c>
      <c r="AL70" s="30">
        <f t="shared" si="18"/>
        <v>1194632.5076271507</v>
      </c>
      <c r="AM70" s="31">
        <f t="shared" si="19"/>
        <v>222901.10969412007</v>
      </c>
      <c r="AN70" s="31">
        <f t="shared" si="20"/>
        <v>222901.10969412007</v>
      </c>
      <c r="AO70" s="30">
        <f t="shared" si="21"/>
        <v>410259.81524636893</v>
      </c>
      <c r="AP70" s="30">
        <v>0</v>
      </c>
      <c r="AQ70" s="32">
        <f t="shared" si="97"/>
        <v>14256647.838266147</v>
      </c>
      <c r="AR70" s="31">
        <f t="shared" si="22"/>
        <v>148196.84975679364</v>
      </c>
      <c r="AS70" s="31">
        <f t="shared" si="23"/>
        <v>139776.64048242438</v>
      </c>
      <c r="AT70" s="31">
        <f t="shared" si="98"/>
        <v>287973.49023921799</v>
      </c>
      <c r="AU70" s="33">
        <f t="shared" si="99"/>
        <v>67538596.532099351</v>
      </c>
    </row>
    <row r="71" spans="1:47" ht="15" customHeight="1" x14ac:dyDescent="0.2">
      <c r="A71" s="41" t="s">
        <v>84</v>
      </c>
      <c r="B71" s="78" t="s">
        <v>110</v>
      </c>
      <c r="C71" s="35">
        <v>4</v>
      </c>
      <c r="D71" s="30">
        <v>1513964</v>
      </c>
      <c r="E71" s="30">
        <f t="shared" si="88"/>
        <v>72670272</v>
      </c>
      <c r="F71" s="30">
        <v>0</v>
      </c>
      <c r="G71" s="30">
        <v>0</v>
      </c>
      <c r="H71" s="30">
        <f t="shared" si="100"/>
        <v>816972</v>
      </c>
      <c r="I71" s="30">
        <f t="shared" si="8"/>
        <v>1277448</v>
      </c>
      <c r="J71" s="30">
        <f t="shared" si="26"/>
        <v>3125709.1388888885</v>
      </c>
      <c r="K71" s="30">
        <f t="shared" si="91"/>
        <v>3027928</v>
      </c>
      <c r="L71" s="30">
        <f t="shared" si="102"/>
        <v>15139640</v>
      </c>
      <c r="M71" s="30">
        <f t="shared" si="82"/>
        <v>6830039.2862091688</v>
      </c>
      <c r="N71" s="30">
        <f t="shared" si="86"/>
        <v>3136562.2956211418</v>
      </c>
      <c r="O71" s="30"/>
      <c r="P71" s="30">
        <f t="shared" si="11"/>
        <v>106024570.7207192</v>
      </c>
      <c r="Q71" s="30"/>
      <c r="R71" s="30"/>
      <c r="S71" s="30"/>
      <c r="T71" s="30"/>
      <c r="U71" s="30">
        <f t="shared" si="92"/>
        <v>0</v>
      </c>
      <c r="V71" s="30">
        <f t="shared" si="90"/>
        <v>106024570.7207192</v>
      </c>
      <c r="W71" s="30">
        <f t="shared" si="93"/>
        <v>4541892</v>
      </c>
      <c r="X71" s="30">
        <v>0</v>
      </c>
      <c r="Y71" s="30">
        <f t="shared" si="60"/>
        <v>403723.73333333334</v>
      </c>
      <c r="Z71" s="30">
        <f t="shared" si="94"/>
        <v>4945615.7333333334</v>
      </c>
      <c r="AA71" s="30"/>
      <c r="AB71" s="30"/>
      <c r="AC71" s="30"/>
      <c r="AD71" s="30"/>
      <c r="AE71" s="30">
        <f t="shared" si="95"/>
        <v>0</v>
      </c>
      <c r="AF71" s="30">
        <f t="shared" si="96"/>
        <v>4945615.7333333334</v>
      </c>
      <c r="AG71" s="30">
        <f t="shared" si="28"/>
        <v>9112579.1999999993</v>
      </c>
      <c r="AH71" s="30">
        <f t="shared" si="29"/>
        <v>6376446.6433333335</v>
      </c>
      <c r="AI71" s="30">
        <f t="shared" si="30"/>
        <v>6251418.2777777771</v>
      </c>
      <c r="AJ71" s="31">
        <f t="shared" si="16"/>
        <v>3361206.9640555722</v>
      </c>
      <c r="AK71" s="31">
        <f t="shared" si="17"/>
        <v>486943.88149653724</v>
      </c>
      <c r="AL71" s="30">
        <f t="shared" si="18"/>
        <v>2545981.2042269069</v>
      </c>
      <c r="AM71" s="31">
        <f t="shared" si="19"/>
        <v>475043.18864531448</v>
      </c>
      <c r="AN71" s="31">
        <f t="shared" si="20"/>
        <v>475043.18864531448</v>
      </c>
      <c r="AO71" s="30">
        <f t="shared" si="21"/>
        <v>874338.98859954276</v>
      </c>
      <c r="AP71" s="30">
        <v>0</v>
      </c>
      <c r="AQ71" s="32">
        <f t="shared" si="97"/>
        <v>29959001.536780298</v>
      </c>
      <c r="AR71" s="31">
        <f t="shared" si="22"/>
        <v>315834.69527031668</v>
      </c>
      <c r="AS71" s="31">
        <f t="shared" si="23"/>
        <v>297889.68338479381</v>
      </c>
      <c r="AT71" s="31">
        <f t="shared" si="98"/>
        <v>613724.37865511049</v>
      </c>
      <c r="AU71" s="33">
        <f t="shared" si="99"/>
        <v>140929187.99083284</v>
      </c>
    </row>
    <row r="72" spans="1:47" ht="15" customHeight="1" x14ac:dyDescent="0.2">
      <c r="A72" s="41" t="s">
        <v>84</v>
      </c>
      <c r="B72" s="78" t="s">
        <v>111</v>
      </c>
      <c r="C72" s="35">
        <v>4</v>
      </c>
      <c r="D72" s="30">
        <v>1552338</v>
      </c>
      <c r="E72" s="30">
        <f t="shared" si="88"/>
        <v>74512224</v>
      </c>
      <c r="F72" s="30">
        <v>0</v>
      </c>
      <c r="G72" s="30">
        <v>0</v>
      </c>
      <c r="H72" s="30">
        <f t="shared" si="100"/>
        <v>816972</v>
      </c>
      <c r="I72" s="30">
        <f t="shared" si="8"/>
        <v>1277448</v>
      </c>
      <c r="J72" s="30">
        <f t="shared" si="26"/>
        <v>3202723.625</v>
      </c>
      <c r="K72" s="30">
        <f t="shared" si="91"/>
        <v>3104676</v>
      </c>
      <c r="L72" s="30">
        <f t="shared" si="102"/>
        <v>15523380</v>
      </c>
      <c r="M72" s="30">
        <f t="shared" si="82"/>
        <v>7002788.9848451968</v>
      </c>
      <c r="N72" s="30">
        <f t="shared" si="86"/>
        <v>3213844.1931423615</v>
      </c>
      <c r="O72" s="30"/>
      <c r="P72" s="30">
        <f t="shared" si="11"/>
        <v>108654056.80298755</v>
      </c>
      <c r="Q72" s="30"/>
      <c r="R72" s="30"/>
      <c r="S72" s="30"/>
      <c r="T72" s="30"/>
      <c r="U72" s="30">
        <f t="shared" si="92"/>
        <v>0</v>
      </c>
      <c r="V72" s="30">
        <f t="shared" si="90"/>
        <v>108654056.80298755</v>
      </c>
      <c r="W72" s="30">
        <f t="shared" si="93"/>
        <v>4657014</v>
      </c>
      <c r="X72" s="30">
        <v>0</v>
      </c>
      <c r="Y72" s="30">
        <f t="shared" si="60"/>
        <v>413956.8</v>
      </c>
      <c r="Z72" s="30">
        <f t="shared" si="94"/>
        <v>5070970.8</v>
      </c>
      <c r="AA72" s="30"/>
      <c r="AB72" s="30"/>
      <c r="AC72" s="30"/>
      <c r="AD72" s="30"/>
      <c r="AE72" s="30">
        <f t="shared" si="95"/>
        <v>0</v>
      </c>
      <c r="AF72" s="30">
        <f t="shared" si="96"/>
        <v>5070970.8</v>
      </c>
      <c r="AG72" s="30">
        <f t="shared" si="28"/>
        <v>9333613.4399999995</v>
      </c>
      <c r="AH72" s="30">
        <f t="shared" si="29"/>
        <v>6533556.1950000003</v>
      </c>
      <c r="AI72" s="30">
        <f t="shared" si="30"/>
        <v>6405447.25</v>
      </c>
      <c r="AJ72" s="31">
        <f t="shared" si="16"/>
        <v>3446402.4878848502</v>
      </c>
      <c r="AK72" s="31">
        <f t="shared" si="17"/>
        <v>499286.3047698437</v>
      </c>
      <c r="AL72" s="30">
        <f t="shared" si="18"/>
        <v>2610513.4406149606</v>
      </c>
      <c r="AM72" s="31">
        <f t="shared" si="19"/>
        <v>487083.96855888923</v>
      </c>
      <c r="AN72" s="31">
        <f t="shared" si="20"/>
        <v>487083.96855888923</v>
      </c>
      <c r="AO72" s="30">
        <f t="shared" si="21"/>
        <v>896500.60165541398</v>
      </c>
      <c r="AP72" s="30">
        <v>0</v>
      </c>
      <c r="AQ72" s="32">
        <f t="shared" si="97"/>
        <v>30699487.657042842</v>
      </c>
      <c r="AR72" s="31">
        <f t="shared" si="22"/>
        <v>323840.06435194821</v>
      </c>
      <c r="AS72" s="31">
        <f t="shared" si="23"/>
        <v>305440.20553076826</v>
      </c>
      <c r="AT72" s="31">
        <f t="shared" si="98"/>
        <v>629280.26988271647</v>
      </c>
      <c r="AU72" s="33">
        <f t="shared" si="99"/>
        <v>144424515.26003039</v>
      </c>
    </row>
    <row r="73" spans="1:47" ht="15" customHeight="1" x14ac:dyDescent="0.2">
      <c r="A73" s="41" t="s">
        <v>84</v>
      </c>
      <c r="B73" s="78" t="s">
        <v>112</v>
      </c>
      <c r="C73" s="35">
        <v>13</v>
      </c>
      <c r="D73" s="30">
        <v>1708377</v>
      </c>
      <c r="E73" s="30">
        <f t="shared" si="88"/>
        <v>266506812</v>
      </c>
      <c r="F73" s="30">
        <v>0</v>
      </c>
      <c r="G73" s="30">
        <v>0</v>
      </c>
      <c r="H73" s="30">
        <f t="shared" si="100"/>
        <v>816972</v>
      </c>
      <c r="I73" s="30">
        <f t="shared" si="8"/>
        <v>1277448</v>
      </c>
      <c r="J73" s="30">
        <f t="shared" si="26"/>
        <v>11218707.983854167</v>
      </c>
      <c r="K73" s="30">
        <f t="shared" si="91"/>
        <v>7773115.3499999996</v>
      </c>
      <c r="L73" s="30">
        <f t="shared" si="102"/>
        <v>55522252.5</v>
      </c>
      <c r="M73" s="30">
        <f t="shared" si="82"/>
        <v>24729691.430406209</v>
      </c>
      <c r="N73" s="30">
        <f t="shared" si="86"/>
        <v>11257661.831020327</v>
      </c>
      <c r="O73" s="30"/>
      <c r="P73" s="30">
        <f t="shared" si="11"/>
        <v>379102661.09528077</v>
      </c>
      <c r="Q73" s="30"/>
      <c r="R73" s="30"/>
      <c r="S73" s="30"/>
      <c r="T73" s="30"/>
      <c r="U73" s="30">
        <f t="shared" si="92"/>
        <v>0</v>
      </c>
      <c r="V73" s="30">
        <f t="shared" si="90"/>
        <v>379102661.09528077</v>
      </c>
      <c r="W73" s="30">
        <f t="shared" si="93"/>
        <v>16656675.749999998</v>
      </c>
      <c r="X73" s="30">
        <v>0</v>
      </c>
      <c r="Y73" s="30">
        <f t="shared" si="60"/>
        <v>1480593.4000000001</v>
      </c>
      <c r="Z73" s="30">
        <f t="shared" si="94"/>
        <v>18137269.149999999</v>
      </c>
      <c r="AA73" s="30"/>
      <c r="AB73" s="30"/>
      <c r="AC73" s="30"/>
      <c r="AD73" s="30"/>
      <c r="AE73" s="30">
        <f t="shared" si="95"/>
        <v>0</v>
      </c>
      <c r="AF73" s="30">
        <f t="shared" si="96"/>
        <v>18137269.149999999</v>
      </c>
      <c r="AG73" s="30">
        <f t="shared" si="28"/>
        <v>33255293.760000002</v>
      </c>
      <c r="AH73" s="30">
        <f t="shared" si="29"/>
        <v>22886164.287062503</v>
      </c>
      <c r="AI73" s="30">
        <f t="shared" si="30"/>
        <v>22437415.967708334</v>
      </c>
      <c r="AJ73" s="31">
        <f t="shared" si="16"/>
        <v>12326698.769789236</v>
      </c>
      <c r="AK73" s="31">
        <f t="shared" si="17"/>
        <v>1785790.2263053029</v>
      </c>
      <c r="AL73" s="30">
        <f t="shared" si="18"/>
        <v>9336986.3009516988</v>
      </c>
      <c r="AM73" s="31">
        <f t="shared" si="19"/>
        <v>1742146.3038995829</v>
      </c>
      <c r="AN73" s="31">
        <f t="shared" si="20"/>
        <v>1742146.3038995829</v>
      </c>
      <c r="AO73" s="30">
        <f t="shared" si="21"/>
        <v>3206500.9534981307</v>
      </c>
      <c r="AP73" s="30">
        <v>0</v>
      </c>
      <c r="AQ73" s="32">
        <f t="shared" si="97"/>
        <v>108719142.87311438</v>
      </c>
      <c r="AR73" s="31">
        <f t="shared" si="22"/>
        <v>1158274.1530881238</v>
      </c>
      <c r="AS73" s="31">
        <f t="shared" si="23"/>
        <v>1092463.6396925936</v>
      </c>
      <c r="AT73" s="31">
        <f t="shared" si="98"/>
        <v>2250737.7927807174</v>
      </c>
      <c r="AU73" s="33">
        <f t="shared" si="99"/>
        <v>505959073.11839509</v>
      </c>
    </row>
    <row r="74" spans="1:47" ht="15" customHeight="1" x14ac:dyDescent="0.2">
      <c r="A74" s="41" t="s">
        <v>84</v>
      </c>
      <c r="B74" s="35">
        <v>10</v>
      </c>
      <c r="C74" s="35">
        <v>1</v>
      </c>
      <c r="D74" s="30">
        <v>1787726.8293999999</v>
      </c>
      <c r="E74" s="30">
        <f t="shared" si="88"/>
        <v>21452721.952799998</v>
      </c>
      <c r="F74" s="30">
        <v>0</v>
      </c>
      <c r="G74" s="30">
        <v>0</v>
      </c>
      <c r="H74" s="30">
        <f t="shared" si="100"/>
        <v>816972</v>
      </c>
      <c r="I74" s="30">
        <f t="shared" si="8"/>
        <v>1277448</v>
      </c>
      <c r="J74" s="30">
        <f t="shared" si="26"/>
        <v>983303.49938850699</v>
      </c>
      <c r="K74" s="30">
        <f t="shared" si="91"/>
        <v>625704.39028999989</v>
      </c>
      <c r="L74" s="30">
        <v>0</v>
      </c>
      <c r="M74" s="30">
        <f t="shared" si="82"/>
        <v>2004037.299177398</v>
      </c>
      <c r="N74" s="30">
        <f t="shared" si="86"/>
        <v>986717.74765027256</v>
      </c>
      <c r="O74" s="30"/>
      <c r="P74" s="30">
        <f t="shared" si="11"/>
        <v>28146904.889306176</v>
      </c>
      <c r="Q74" s="30"/>
      <c r="R74" s="30"/>
      <c r="S74" s="30"/>
      <c r="T74" s="30"/>
      <c r="U74" s="30">
        <f t="shared" si="92"/>
        <v>0</v>
      </c>
      <c r="V74" s="30">
        <f t="shared" si="90"/>
        <v>28146904.889306176</v>
      </c>
      <c r="W74" s="30">
        <f t="shared" si="93"/>
        <v>1340795.1220499999</v>
      </c>
      <c r="X74" s="30">
        <v>0</v>
      </c>
      <c r="Y74" s="30">
        <f t="shared" si="60"/>
        <v>119181.78862666666</v>
      </c>
      <c r="Z74" s="30">
        <f t="shared" si="94"/>
        <v>1459976.9106766665</v>
      </c>
      <c r="AA74" s="30"/>
      <c r="AB74" s="30"/>
      <c r="AC74" s="30"/>
      <c r="AD74" s="30"/>
      <c r="AE74" s="30">
        <f t="shared" si="95"/>
        <v>0</v>
      </c>
      <c r="AF74" s="30">
        <f t="shared" si="96"/>
        <v>1459976.9106766665</v>
      </c>
      <c r="AG74" s="30">
        <f t="shared" si="28"/>
        <v>2672363.274336</v>
      </c>
      <c r="AH74" s="30">
        <f t="shared" si="29"/>
        <v>2005939.1387525543</v>
      </c>
      <c r="AI74" s="30">
        <f t="shared" si="30"/>
        <v>1966606.998777014</v>
      </c>
      <c r="AJ74" s="31">
        <f t="shared" si="16"/>
        <v>992249.46379310661</v>
      </c>
      <c r="AK74" s="31">
        <f t="shared" si="17"/>
        <v>143748.90046321013</v>
      </c>
      <c r="AL74" s="30">
        <f t="shared" si="18"/>
        <v>751589.68541269167</v>
      </c>
      <c r="AM74" s="31">
        <f t="shared" si="19"/>
        <v>140235.74098607266</v>
      </c>
      <c r="AN74" s="31">
        <f t="shared" si="20"/>
        <v>140235.74098607266</v>
      </c>
      <c r="AO74" s="30">
        <f t="shared" si="21"/>
        <v>258110.37579325918</v>
      </c>
      <c r="AP74" s="30">
        <v>0</v>
      </c>
      <c r="AQ74" s="32">
        <f t="shared" si="97"/>
        <v>9071079.3192999829</v>
      </c>
      <c r="AR74" s="31">
        <f t="shared" si="22"/>
        <v>93236.391088248871</v>
      </c>
      <c r="AS74" s="31">
        <f t="shared" si="23"/>
        <v>87938.910566642822</v>
      </c>
      <c r="AT74" s="31">
        <f t="shared" si="98"/>
        <v>181175.30165489169</v>
      </c>
      <c r="AU74" s="33">
        <f t="shared" si="99"/>
        <v>38677961.119282827</v>
      </c>
    </row>
    <row r="75" spans="1:47" ht="15" customHeight="1" x14ac:dyDescent="0.2">
      <c r="A75" s="41" t="s">
        <v>84</v>
      </c>
      <c r="B75" s="35">
        <v>11</v>
      </c>
      <c r="C75" s="35">
        <v>7</v>
      </c>
      <c r="D75" s="30">
        <v>1884668.6529999999</v>
      </c>
      <c r="E75" s="30">
        <f t="shared" si="88"/>
        <v>158312166.852</v>
      </c>
      <c r="F75" s="30">
        <v>0</v>
      </c>
      <c r="G75" s="30">
        <v>0</v>
      </c>
      <c r="H75" s="30">
        <f t="shared" si="100"/>
        <v>816972</v>
      </c>
      <c r="I75" s="30">
        <f t="shared" si="8"/>
        <v>0</v>
      </c>
      <c r="J75" s="30">
        <f t="shared" si="26"/>
        <v>6646413.557027257</v>
      </c>
      <c r="K75" s="30">
        <f t="shared" si="91"/>
        <v>4617438.1998499995</v>
      </c>
      <c r="L75" s="30">
        <v>0</v>
      </c>
      <c r="M75" s="30">
        <f t="shared" si="82"/>
        <v>14687125.832562944</v>
      </c>
      <c r="N75" s="30">
        <f t="shared" si="86"/>
        <v>6669491.3818780454</v>
      </c>
      <c r="O75" s="30"/>
      <c r="P75" s="30">
        <f t="shared" si="11"/>
        <v>191749607.82331824</v>
      </c>
      <c r="Q75" s="30"/>
      <c r="R75" s="30"/>
      <c r="S75" s="30"/>
      <c r="T75" s="30"/>
      <c r="U75" s="30">
        <f t="shared" si="92"/>
        <v>0</v>
      </c>
      <c r="V75" s="30">
        <f t="shared" si="90"/>
        <v>191749607.82331824</v>
      </c>
      <c r="W75" s="30">
        <f t="shared" si="93"/>
        <v>9894510.4282499999</v>
      </c>
      <c r="X75" s="30">
        <v>0</v>
      </c>
      <c r="Y75" s="30">
        <f t="shared" si="60"/>
        <v>879512.03806666657</v>
      </c>
      <c r="Z75" s="30">
        <f t="shared" si="94"/>
        <v>10774022.466316666</v>
      </c>
      <c r="AA75" s="30"/>
      <c r="AB75" s="30"/>
      <c r="AC75" s="30"/>
      <c r="AD75" s="30"/>
      <c r="AE75" s="30">
        <f t="shared" si="95"/>
        <v>0</v>
      </c>
      <c r="AF75" s="30">
        <f t="shared" si="96"/>
        <v>10774022.466316666</v>
      </c>
      <c r="AG75" s="30">
        <f t="shared" si="28"/>
        <v>19683716.502239998</v>
      </c>
      <c r="AH75" s="30">
        <f t="shared" si="29"/>
        <v>13558683.656335605</v>
      </c>
      <c r="AI75" s="30">
        <f t="shared" si="30"/>
        <v>13292827.114054514</v>
      </c>
      <c r="AJ75" s="31">
        <f t="shared" si="16"/>
        <v>7322388.4137611315</v>
      </c>
      <c r="AK75" s="31">
        <f t="shared" si="17"/>
        <v>1060807.1071350926</v>
      </c>
      <c r="AL75" s="30">
        <f t="shared" si="18"/>
        <v>5546419.3281900194</v>
      </c>
      <c r="AM75" s="31">
        <f t="shared" si="19"/>
        <v>1034881.4511485952</v>
      </c>
      <c r="AN75" s="31">
        <f t="shared" si="20"/>
        <v>1034881.4511485952</v>
      </c>
      <c r="AO75" s="30">
        <f t="shared" si="21"/>
        <v>1904747.2376101706</v>
      </c>
      <c r="AP75" s="30">
        <v>0</v>
      </c>
      <c r="AQ75" s="32">
        <f t="shared" si="97"/>
        <v>64439352.261623718</v>
      </c>
      <c r="AR75" s="31">
        <f t="shared" si="22"/>
        <v>688045.79368142388</v>
      </c>
      <c r="AS75" s="31">
        <f t="shared" si="23"/>
        <v>648952.59040041745</v>
      </c>
      <c r="AT75" s="31">
        <f t="shared" si="98"/>
        <v>1336998.3840818414</v>
      </c>
      <c r="AU75" s="33">
        <f t="shared" si="99"/>
        <v>266962982.55125862</v>
      </c>
    </row>
    <row r="76" spans="1:47" ht="15" customHeight="1" x14ac:dyDescent="0.2">
      <c r="A76" s="41" t="s">
        <v>84</v>
      </c>
      <c r="B76" s="35">
        <v>12</v>
      </c>
      <c r="C76" s="35">
        <v>3</v>
      </c>
      <c r="D76" s="30">
        <v>1998522.6568</v>
      </c>
      <c r="E76" s="30">
        <f t="shared" si="88"/>
        <v>71946815.644800007</v>
      </c>
      <c r="F76" s="30">
        <v>0</v>
      </c>
      <c r="G76" s="30">
        <v>0</v>
      </c>
      <c r="H76" s="30">
        <f t="shared" si="100"/>
        <v>0</v>
      </c>
      <c r="I76" s="30">
        <f t="shared" si="8"/>
        <v>0</v>
      </c>
      <c r="J76" s="30">
        <f t="shared" si="26"/>
        <v>3005070.2657195837</v>
      </c>
      <c r="K76" s="30">
        <f t="shared" si="91"/>
        <v>2098448.7896400001</v>
      </c>
      <c r="L76" s="30">
        <v>0</v>
      </c>
      <c r="M76" s="30">
        <f t="shared" si="82"/>
        <v>6672153.2698029298</v>
      </c>
      <c r="N76" s="30">
        <f t="shared" si="86"/>
        <v>3015504.5374755547</v>
      </c>
      <c r="O76" s="30"/>
      <c r="P76" s="30">
        <f t="shared" si="11"/>
        <v>86737992.507438064</v>
      </c>
      <c r="Q76" s="30"/>
      <c r="R76" s="30"/>
      <c r="S76" s="30"/>
      <c r="T76" s="30"/>
      <c r="U76" s="30">
        <f t="shared" si="92"/>
        <v>0</v>
      </c>
      <c r="V76" s="30">
        <f t="shared" si="90"/>
        <v>86737992.507438064</v>
      </c>
      <c r="W76" s="30">
        <f t="shared" si="93"/>
        <v>4496675.9778000005</v>
      </c>
      <c r="X76" s="30">
        <v>0</v>
      </c>
      <c r="Y76" s="30">
        <f t="shared" si="60"/>
        <v>399704.53136000002</v>
      </c>
      <c r="Z76" s="30">
        <f t="shared" si="94"/>
        <v>4896380.5091600008</v>
      </c>
      <c r="AA76" s="30"/>
      <c r="AB76" s="30"/>
      <c r="AC76" s="30"/>
      <c r="AD76" s="30"/>
      <c r="AE76" s="30">
        <f t="shared" si="95"/>
        <v>0</v>
      </c>
      <c r="AF76" s="30">
        <f t="shared" si="96"/>
        <v>4896380.5091600008</v>
      </c>
      <c r="AG76" s="30">
        <f t="shared" si="28"/>
        <v>8633617.8773759976</v>
      </c>
      <c r="AH76" s="30">
        <f t="shared" si="29"/>
        <v>6130343.3420679513</v>
      </c>
      <c r="AI76" s="30">
        <f t="shared" si="30"/>
        <v>6010140.5314391674</v>
      </c>
      <c r="AJ76" s="31">
        <f t="shared" si="16"/>
        <v>3327745.0480290502</v>
      </c>
      <c r="AK76" s="31">
        <f t="shared" si="17"/>
        <v>482096.19569601584</v>
      </c>
      <c r="AL76" s="30">
        <f t="shared" si="18"/>
        <v>2520635.1276026485</v>
      </c>
      <c r="AM76" s="31">
        <f t="shared" si="19"/>
        <v>470313.97813926428</v>
      </c>
      <c r="AN76" s="31">
        <f t="shared" si="20"/>
        <v>470313.97813926428</v>
      </c>
      <c r="AO76" s="30">
        <f t="shared" si="21"/>
        <v>865634.65764696989</v>
      </c>
      <c r="AP76" s="30">
        <v>0</v>
      </c>
      <c r="AQ76" s="32">
        <f t="shared" si="97"/>
        <v>28910840.736136325</v>
      </c>
      <c r="AR76" s="31">
        <f t="shared" si="22"/>
        <v>312690.45745205227</v>
      </c>
      <c r="AS76" s="31">
        <f t="shared" si="23"/>
        <v>294924.09403632896</v>
      </c>
      <c r="AT76" s="31">
        <f t="shared" si="98"/>
        <v>607614.55148838123</v>
      </c>
      <c r="AU76" s="33">
        <f t="shared" si="99"/>
        <v>120545213.75273439</v>
      </c>
    </row>
    <row r="77" spans="1:47" ht="15" customHeight="1" x14ac:dyDescent="0.2">
      <c r="A77" s="41" t="s">
        <v>84</v>
      </c>
      <c r="B77" s="35">
        <v>15</v>
      </c>
      <c r="C77" s="35">
        <v>6</v>
      </c>
      <c r="D77" s="30">
        <v>2308790.6704000002</v>
      </c>
      <c r="E77" s="30">
        <f t="shared" si="88"/>
        <v>166232928.26880002</v>
      </c>
      <c r="F77" s="30">
        <v>0</v>
      </c>
      <c r="G77" s="30">
        <v>0</v>
      </c>
      <c r="H77" s="30">
        <f t="shared" si="100"/>
        <v>0</v>
      </c>
      <c r="I77" s="30">
        <f t="shared" si="8"/>
        <v>0</v>
      </c>
      <c r="J77" s="30">
        <f t="shared" si="26"/>
        <v>6943206.9431716679</v>
      </c>
      <c r="K77" s="30">
        <f t="shared" si="91"/>
        <v>4848460.4078400005</v>
      </c>
      <c r="L77" s="30">
        <v>0</v>
      </c>
      <c r="M77" s="30">
        <f t="shared" si="82"/>
        <v>15415992.576702075</v>
      </c>
      <c r="N77" s="30">
        <f t="shared" si="86"/>
        <v>6967315.3006132357</v>
      </c>
      <c r="O77" s="30"/>
      <c r="P77" s="30">
        <f t="shared" si="11"/>
        <v>200407903.49712703</v>
      </c>
      <c r="Q77" s="30"/>
      <c r="R77" s="30"/>
      <c r="S77" s="30"/>
      <c r="T77" s="30"/>
      <c r="U77" s="30">
        <f t="shared" si="92"/>
        <v>0</v>
      </c>
      <c r="V77" s="30">
        <f t="shared" si="90"/>
        <v>200407903.49712703</v>
      </c>
      <c r="W77" s="30">
        <f t="shared" si="93"/>
        <v>10389558.016800001</v>
      </c>
      <c r="X77" s="30">
        <v>0</v>
      </c>
      <c r="Y77" s="30">
        <f t="shared" si="60"/>
        <v>923516.26815999998</v>
      </c>
      <c r="Z77" s="30">
        <f t="shared" si="94"/>
        <v>11313074.284960002</v>
      </c>
      <c r="AA77" s="30"/>
      <c r="AB77" s="30"/>
      <c r="AC77" s="30"/>
      <c r="AD77" s="30"/>
      <c r="AE77" s="30">
        <f t="shared" si="95"/>
        <v>0</v>
      </c>
      <c r="AF77" s="30">
        <f t="shared" si="96"/>
        <v>11313074.284960002</v>
      </c>
      <c r="AG77" s="30">
        <f t="shared" si="28"/>
        <v>19947951.392256003</v>
      </c>
      <c r="AH77" s="30">
        <f t="shared" si="29"/>
        <v>14164142.164070202</v>
      </c>
      <c r="AI77" s="30">
        <f t="shared" si="30"/>
        <v>13886413.886343336</v>
      </c>
      <c r="AJ77" s="31">
        <f t="shared" si="16"/>
        <v>7688746.1788011603</v>
      </c>
      <c r="AK77" s="31">
        <f t="shared" si="17"/>
        <v>1113881.9918514262</v>
      </c>
      <c r="AL77" s="30">
        <f t="shared" si="18"/>
        <v>5823920.8310100231</v>
      </c>
      <c r="AM77" s="31">
        <f t="shared" si="19"/>
        <v>1086659.2091833453</v>
      </c>
      <c r="AN77" s="31">
        <f t="shared" si="20"/>
        <v>1086659.2091833453</v>
      </c>
      <c r="AO77" s="30">
        <f t="shared" si="21"/>
        <v>2000046.5991717072</v>
      </c>
      <c r="AP77" s="30">
        <v>0</v>
      </c>
      <c r="AQ77" s="32">
        <f t="shared" si="97"/>
        <v>66798421.461870544</v>
      </c>
      <c r="AR77" s="31">
        <f t="shared" si="22"/>
        <v>722470.4793133135</v>
      </c>
      <c r="AS77" s="31">
        <f t="shared" si="23"/>
        <v>681421.34338123817</v>
      </c>
      <c r="AT77" s="31">
        <f t="shared" si="98"/>
        <v>1403891.8226945517</v>
      </c>
      <c r="AU77" s="33">
        <f t="shared" si="99"/>
        <v>278519399.24395758</v>
      </c>
    </row>
    <row r="78" spans="1:47" ht="15" customHeight="1" x14ac:dyDescent="0.2">
      <c r="A78" s="41" t="s">
        <v>84</v>
      </c>
      <c r="B78" s="35">
        <v>18</v>
      </c>
      <c r="C78" s="35">
        <v>5</v>
      </c>
      <c r="D78" s="30">
        <v>3068817.8099000002</v>
      </c>
      <c r="E78" s="30">
        <f t="shared" si="88"/>
        <v>184129068.59400001</v>
      </c>
      <c r="F78" s="30">
        <v>0</v>
      </c>
      <c r="G78" s="30">
        <v>0</v>
      </c>
      <c r="H78" s="30">
        <f t="shared" si="100"/>
        <v>0</v>
      </c>
      <c r="I78" s="30">
        <f t="shared" si="8"/>
        <v>0</v>
      </c>
      <c r="J78" s="30">
        <f t="shared" si="26"/>
        <v>7690691.8551921016</v>
      </c>
      <c r="K78" s="30">
        <f t="shared" si="91"/>
        <v>5370431.1673250003</v>
      </c>
      <c r="L78" s="30">
        <v>0</v>
      </c>
      <c r="M78" s="30">
        <f t="shared" si="82"/>
        <v>17075632.271906089</v>
      </c>
      <c r="N78" s="30">
        <f t="shared" si="86"/>
        <v>7717395.6463559633</v>
      </c>
      <c r="O78" s="30"/>
      <c r="P78" s="30">
        <f t="shared" si="11"/>
        <v>221983219.53477913</v>
      </c>
      <c r="Q78" s="30"/>
      <c r="R78" s="30"/>
      <c r="S78" s="30"/>
      <c r="T78" s="30"/>
      <c r="U78" s="30">
        <f t="shared" si="92"/>
        <v>0</v>
      </c>
      <c r="V78" s="30">
        <f t="shared" si="90"/>
        <v>221983219.53477913</v>
      </c>
      <c r="W78" s="30">
        <f t="shared" si="93"/>
        <v>11508066.787125001</v>
      </c>
      <c r="X78" s="30">
        <v>0</v>
      </c>
      <c r="Y78" s="30">
        <f t="shared" si="60"/>
        <v>1022939.2699666668</v>
      </c>
      <c r="Z78" s="30">
        <f t="shared" si="94"/>
        <v>12531006.057091668</v>
      </c>
      <c r="AA78" s="30"/>
      <c r="AB78" s="30"/>
      <c r="AC78" s="30"/>
      <c r="AD78" s="30"/>
      <c r="AE78" s="30">
        <f t="shared" si="95"/>
        <v>0</v>
      </c>
      <c r="AF78" s="30">
        <f t="shared" si="96"/>
        <v>12531006.057091668</v>
      </c>
      <c r="AG78" s="30">
        <f t="shared" si="28"/>
        <v>22095488.231279999</v>
      </c>
      <c r="AH78" s="30">
        <f t="shared" si="29"/>
        <v>15689011.384591887</v>
      </c>
      <c r="AI78" s="30">
        <f t="shared" si="30"/>
        <v>15381383.710384203</v>
      </c>
      <c r="AJ78" s="31">
        <f t="shared" si="16"/>
        <v>8516493.6171316225</v>
      </c>
      <c r="AK78" s="31">
        <f t="shared" si="17"/>
        <v>1233799.1986256021</v>
      </c>
      <c r="AL78" s="30">
        <f t="shared" si="18"/>
        <v>6450906.7448121132</v>
      </c>
      <c r="AM78" s="31">
        <f t="shared" si="19"/>
        <v>1203645.6925217728</v>
      </c>
      <c r="AN78" s="31">
        <f t="shared" si="20"/>
        <v>1203645.6925217728</v>
      </c>
      <c r="AO78" s="30">
        <f t="shared" si="21"/>
        <v>2215365.6395596513</v>
      </c>
      <c r="AP78" s="30">
        <v>0</v>
      </c>
      <c r="AQ78" s="32">
        <f t="shared" si="97"/>
        <v>73989739.911428615</v>
      </c>
      <c r="AR78" s="31">
        <f t="shared" si="22"/>
        <v>800249.49225170421</v>
      </c>
      <c r="AS78" s="31">
        <f t="shared" si="23"/>
        <v>754781.12900697067</v>
      </c>
      <c r="AT78" s="31">
        <f t="shared" si="98"/>
        <v>1555030.6212586749</v>
      </c>
      <c r="AU78" s="33">
        <f t="shared" si="99"/>
        <v>308503965.50329942</v>
      </c>
    </row>
    <row r="79" spans="1:47" ht="15" customHeight="1" x14ac:dyDescent="0.2">
      <c r="A79" s="41" t="s">
        <v>85</v>
      </c>
      <c r="B79" s="78" t="s">
        <v>110</v>
      </c>
      <c r="C79" s="35">
        <v>11</v>
      </c>
      <c r="D79" s="30">
        <v>1513964</v>
      </c>
      <c r="E79" s="30">
        <f t="shared" si="88"/>
        <v>199843248</v>
      </c>
      <c r="F79" s="30">
        <v>0</v>
      </c>
      <c r="G79" s="30">
        <v>0</v>
      </c>
      <c r="H79" s="30">
        <f t="shared" si="100"/>
        <v>816972</v>
      </c>
      <c r="I79" s="30">
        <f t="shared" si="8"/>
        <v>1277448</v>
      </c>
      <c r="J79" s="30">
        <f t="shared" si="26"/>
        <v>8442982.006944444</v>
      </c>
      <c r="K79" s="30">
        <f t="shared" si="91"/>
        <v>8326802</v>
      </c>
      <c r="L79" s="30">
        <f t="shared" ref="L79" si="103">+((((D79/30)/8)*50)*12)*C79</f>
        <v>41634010</v>
      </c>
      <c r="M79" s="30">
        <f t="shared" si="82"/>
        <v>18757110.826969605</v>
      </c>
      <c r="N79" s="30">
        <f t="shared" si="86"/>
        <v>8472297.9166907798</v>
      </c>
      <c r="O79" s="30"/>
      <c r="P79" s="30">
        <f t="shared" si="11"/>
        <v>287570870.75060481</v>
      </c>
      <c r="Q79" s="30"/>
      <c r="R79" s="30"/>
      <c r="S79" s="30"/>
      <c r="T79" s="30"/>
      <c r="U79" s="30">
        <f t="shared" si="92"/>
        <v>0</v>
      </c>
      <c r="V79" s="30">
        <f t="shared" si="90"/>
        <v>287570870.75060481</v>
      </c>
      <c r="W79" s="30">
        <f t="shared" si="93"/>
        <v>12490203</v>
      </c>
      <c r="X79" s="30">
        <v>0</v>
      </c>
      <c r="Y79" s="30">
        <f t="shared" si="60"/>
        <v>1110240.2666666666</v>
      </c>
      <c r="Z79" s="30">
        <f t="shared" si="94"/>
        <v>13600443.266666666</v>
      </c>
      <c r="AA79" s="30"/>
      <c r="AB79" s="30"/>
      <c r="AC79" s="30"/>
      <c r="AD79" s="30"/>
      <c r="AE79" s="30">
        <f t="shared" si="95"/>
        <v>0</v>
      </c>
      <c r="AF79" s="30">
        <f t="shared" si="96"/>
        <v>13600443.266666666</v>
      </c>
      <c r="AG79" s="30">
        <f t="shared" si="28"/>
        <v>25059592.799999997</v>
      </c>
      <c r="AH79" s="30">
        <f t="shared" si="29"/>
        <v>17223683.294166666</v>
      </c>
      <c r="AI79" s="30">
        <f t="shared" si="30"/>
        <v>16885964.013888888</v>
      </c>
      <c r="AJ79" s="31">
        <f t="shared" si="16"/>
        <v>9243319.1511528231</v>
      </c>
      <c r="AK79" s="31">
        <f t="shared" si="17"/>
        <v>1339095.6741154774</v>
      </c>
      <c r="AL79" s="30">
        <f t="shared" si="18"/>
        <v>7001448.3116239943</v>
      </c>
      <c r="AM79" s="31">
        <f t="shared" si="19"/>
        <v>1306368.7687746147</v>
      </c>
      <c r="AN79" s="31">
        <f t="shared" si="20"/>
        <v>1306368.7687746147</v>
      </c>
      <c r="AO79" s="30">
        <f t="shared" si="21"/>
        <v>2404432.2186487424</v>
      </c>
      <c r="AP79" s="30">
        <v>0</v>
      </c>
      <c r="AQ79" s="32">
        <f t="shared" si="97"/>
        <v>81770273.001145825</v>
      </c>
      <c r="AR79" s="31">
        <f t="shared" si="22"/>
        <v>868545.41199337086</v>
      </c>
      <c r="AS79" s="31">
        <f t="shared" si="23"/>
        <v>819196.62930818298</v>
      </c>
      <c r="AT79" s="31">
        <f t="shared" si="98"/>
        <v>1687742.0413015538</v>
      </c>
      <c r="AU79" s="33">
        <f t="shared" si="99"/>
        <v>382941587.0184173</v>
      </c>
    </row>
    <row r="80" spans="1:47" ht="15" customHeight="1" x14ac:dyDescent="0.2">
      <c r="A80" s="41" t="s">
        <v>85</v>
      </c>
      <c r="B80" s="35">
        <v>10</v>
      </c>
      <c r="C80" s="35">
        <v>3</v>
      </c>
      <c r="D80" s="30">
        <v>1787726.8293999999</v>
      </c>
      <c r="E80" s="30">
        <f t="shared" si="88"/>
        <v>64358165.858399995</v>
      </c>
      <c r="F80" s="30">
        <v>0</v>
      </c>
      <c r="G80" s="30">
        <v>0</v>
      </c>
      <c r="H80" s="30">
        <f t="shared" si="100"/>
        <v>816972</v>
      </c>
      <c r="I80" s="30">
        <f t="shared" si="8"/>
        <v>1277448</v>
      </c>
      <c r="J80" s="30">
        <f t="shared" si="26"/>
        <v>2775375.4981655204</v>
      </c>
      <c r="K80" s="30">
        <f t="shared" si="91"/>
        <v>1877113.1708699996</v>
      </c>
      <c r="L80" s="30">
        <v>0</v>
      </c>
      <c r="M80" s="30">
        <f t="shared" si="82"/>
        <v>5982972.2288400643</v>
      </c>
      <c r="N80" s="30">
        <f t="shared" si="86"/>
        <v>2785012.2186452621</v>
      </c>
      <c r="O80" s="30"/>
      <c r="P80" s="30">
        <f t="shared" si="11"/>
        <v>79873058.974920854</v>
      </c>
      <c r="Q80" s="30"/>
      <c r="R80" s="30"/>
      <c r="S80" s="30"/>
      <c r="T80" s="30"/>
      <c r="U80" s="30">
        <f t="shared" si="92"/>
        <v>0</v>
      </c>
      <c r="V80" s="30">
        <f t="shared" si="90"/>
        <v>79873058.974920854</v>
      </c>
      <c r="W80" s="30">
        <f t="shared" si="93"/>
        <v>4022385.3661500001</v>
      </c>
      <c r="X80" s="30">
        <v>0</v>
      </c>
      <c r="Y80" s="30">
        <f t="shared" si="60"/>
        <v>357545.36588</v>
      </c>
      <c r="Z80" s="30">
        <f t="shared" si="94"/>
        <v>4379930.7320300005</v>
      </c>
      <c r="AA80" s="30"/>
      <c r="AB80" s="30"/>
      <c r="AC80" s="30"/>
      <c r="AD80" s="30"/>
      <c r="AE80" s="30">
        <f t="shared" si="95"/>
        <v>0</v>
      </c>
      <c r="AF80" s="30">
        <f t="shared" si="96"/>
        <v>4379930.7320300005</v>
      </c>
      <c r="AG80" s="30">
        <f t="shared" si="28"/>
        <v>8017089.8230079999</v>
      </c>
      <c r="AH80" s="30">
        <f t="shared" si="29"/>
        <v>5661766.0162576623</v>
      </c>
      <c r="AI80" s="30">
        <f t="shared" si="30"/>
        <v>5550750.9963310407</v>
      </c>
      <c r="AJ80" s="31">
        <f t="shared" si="16"/>
        <v>2976748.3913793201</v>
      </c>
      <c r="AK80" s="31">
        <f t="shared" si="17"/>
        <v>431246.70138963038</v>
      </c>
      <c r="AL80" s="30">
        <f t="shared" si="18"/>
        <v>2254769.0562380748</v>
      </c>
      <c r="AM80" s="31">
        <f t="shared" si="19"/>
        <v>420707.22295821796</v>
      </c>
      <c r="AN80" s="31">
        <f t="shared" si="20"/>
        <v>420707.22295821796</v>
      </c>
      <c r="AO80" s="30">
        <f t="shared" si="21"/>
        <v>774331.12737977761</v>
      </c>
      <c r="AP80" s="30">
        <v>0</v>
      </c>
      <c r="AQ80" s="32">
        <f t="shared" si="97"/>
        <v>26508116.557899941</v>
      </c>
      <c r="AR80" s="31">
        <f t="shared" si="22"/>
        <v>279709.17326474661</v>
      </c>
      <c r="AS80" s="31">
        <f t="shared" si="23"/>
        <v>263816.73169992847</v>
      </c>
      <c r="AT80" s="31">
        <f t="shared" si="98"/>
        <v>543525.90496467508</v>
      </c>
      <c r="AU80" s="33">
        <f t="shared" si="99"/>
        <v>110761106.2648508</v>
      </c>
    </row>
    <row r="81" spans="1:47" ht="15" customHeight="1" x14ac:dyDescent="0.2">
      <c r="A81" s="41" t="s">
        <v>85</v>
      </c>
      <c r="B81" s="35">
        <v>11</v>
      </c>
      <c r="C81" s="35">
        <v>5</v>
      </c>
      <c r="D81" s="30">
        <v>1884668.6529999999</v>
      </c>
      <c r="E81" s="30">
        <f t="shared" si="88"/>
        <v>113080119.18000001</v>
      </c>
      <c r="F81" s="30">
        <v>0</v>
      </c>
      <c r="G81" s="30">
        <v>0</v>
      </c>
      <c r="H81" s="30">
        <f t="shared" si="100"/>
        <v>816972</v>
      </c>
      <c r="I81" s="30">
        <f t="shared" ref="I81:I107" si="104">+(IF(D81&lt;(908526*2),106454,0)*12)</f>
        <v>0</v>
      </c>
      <c r="J81" s="30">
        <f t="shared" si="26"/>
        <v>4757164.1121623265</v>
      </c>
      <c r="K81" s="30">
        <f t="shared" si="91"/>
        <v>3298170.1427499996</v>
      </c>
      <c r="L81" s="30">
        <v>0</v>
      </c>
      <c r="M81" s="30">
        <f t="shared" si="82"/>
        <v>10492427.956501639</v>
      </c>
      <c r="N81" s="30">
        <f t="shared" si="86"/>
        <v>4773682.0431073355</v>
      </c>
      <c r="O81" s="30"/>
      <c r="P81" s="30">
        <f t="shared" ref="P81:P107" si="105">SUM(E81:O81)</f>
        <v>137218535.43452129</v>
      </c>
      <c r="Q81" s="30"/>
      <c r="R81" s="30"/>
      <c r="S81" s="30"/>
      <c r="T81" s="30"/>
      <c r="U81" s="30">
        <f t="shared" si="92"/>
        <v>0</v>
      </c>
      <c r="V81" s="30">
        <f t="shared" si="90"/>
        <v>137218535.43452129</v>
      </c>
      <c r="W81" s="30">
        <f t="shared" si="93"/>
        <v>7067507.4487500004</v>
      </c>
      <c r="X81" s="30">
        <v>0</v>
      </c>
      <c r="Y81" s="30">
        <f t="shared" si="60"/>
        <v>628222.88433333323</v>
      </c>
      <c r="Z81" s="30">
        <f t="shared" si="94"/>
        <v>7695730.3330833334</v>
      </c>
      <c r="AA81" s="30"/>
      <c r="AB81" s="30"/>
      <c r="AC81" s="30"/>
      <c r="AD81" s="30"/>
      <c r="AE81" s="30">
        <f t="shared" si="95"/>
        <v>0</v>
      </c>
      <c r="AF81" s="30">
        <f t="shared" si="96"/>
        <v>7695730.3330833334</v>
      </c>
      <c r="AG81" s="30">
        <f t="shared" si="28"/>
        <v>14059797.501599997</v>
      </c>
      <c r="AH81" s="30">
        <f t="shared" si="29"/>
        <v>9704614.7888111472</v>
      </c>
      <c r="AI81" s="30">
        <f t="shared" si="30"/>
        <v>9514328.2243246529</v>
      </c>
      <c r="AJ81" s="31">
        <f t="shared" ref="AJ81:AJ107" si="106">+((D81*0.0462528468870403)*C81)*12</f>
        <v>5230277.4384008087</v>
      </c>
      <c r="AK81" s="31">
        <f t="shared" ref="AK81:AK107" si="107">+((D81*0.00670073013482786)*C81)*12</f>
        <v>757719.36223935185</v>
      </c>
      <c r="AL81" s="30">
        <f t="shared" ref="AL81:AL107" si="108">+(((D81*0.0350347003548701)*C81)*12)</f>
        <v>3961728.0915642986</v>
      </c>
      <c r="AM81" s="31">
        <f t="shared" ref="AM81:AM107" si="109">+(((D81*0.00653696725733068)*C81)*12)</f>
        <v>739201.0365347109</v>
      </c>
      <c r="AN81" s="31">
        <f t="shared" ref="AN81:AN107" si="110">+(((D81*0.00653696725733068)*C81)*12)</f>
        <v>739201.0365347109</v>
      </c>
      <c r="AO81" s="30">
        <f t="shared" ref="AO81:AO107" si="111">+(((D81*0.0120315909729847)*C81)*12)</f>
        <v>1360533.7411501219</v>
      </c>
      <c r="AP81" s="30">
        <v>0</v>
      </c>
      <c r="AQ81" s="32">
        <f t="shared" si="97"/>
        <v>46067401.221159801</v>
      </c>
      <c r="AR81" s="31">
        <f t="shared" ref="AR81:AR107" si="112">+(((D81*0.00434613338546905)*C81)*12)</f>
        <v>491461.28120101709</v>
      </c>
      <c r="AS81" s="31">
        <f t="shared" ref="AS81:AS107" si="113">+((D81*0.00409919593234485)*C81)*12</f>
        <v>463537.56457172672</v>
      </c>
      <c r="AT81" s="31">
        <f t="shared" si="98"/>
        <v>954998.84577274381</v>
      </c>
      <c r="AU81" s="33">
        <f t="shared" si="99"/>
        <v>190981666.98876441</v>
      </c>
    </row>
    <row r="82" spans="1:47" ht="15" customHeight="1" x14ac:dyDescent="0.2">
      <c r="A82" s="41" t="s">
        <v>85</v>
      </c>
      <c r="B82" s="35">
        <v>12</v>
      </c>
      <c r="C82" s="35">
        <v>8</v>
      </c>
      <c r="D82" s="30">
        <v>1998522.6568</v>
      </c>
      <c r="E82" s="30">
        <f t="shared" si="88"/>
        <v>191858175.0528</v>
      </c>
      <c r="F82" s="30">
        <v>0</v>
      </c>
      <c r="G82" s="30">
        <v>0</v>
      </c>
      <c r="H82" s="30">
        <f t="shared" si="100"/>
        <v>0</v>
      </c>
      <c r="I82" s="30">
        <f t="shared" si="104"/>
        <v>0</v>
      </c>
      <c r="J82" s="30">
        <f t="shared" si="26"/>
        <v>8013520.7085855557</v>
      </c>
      <c r="K82" s="30">
        <f t="shared" si="91"/>
        <v>5595863.4390399996</v>
      </c>
      <c r="L82" s="30">
        <v>0</v>
      </c>
      <c r="M82" s="30">
        <f t="shared" si="82"/>
        <v>17792408.719474476</v>
      </c>
      <c r="N82" s="30">
        <f t="shared" si="86"/>
        <v>8041345.4332681438</v>
      </c>
      <c r="O82" s="30"/>
      <c r="P82" s="30">
        <f t="shared" si="105"/>
        <v>231301313.35316816</v>
      </c>
      <c r="Q82" s="30"/>
      <c r="R82" s="30"/>
      <c r="S82" s="30"/>
      <c r="T82" s="30"/>
      <c r="U82" s="30">
        <f t="shared" si="92"/>
        <v>0</v>
      </c>
      <c r="V82" s="30">
        <f t="shared" si="90"/>
        <v>231301313.35316816</v>
      </c>
      <c r="W82" s="30">
        <f t="shared" si="93"/>
        <v>11991135.9408</v>
      </c>
      <c r="X82" s="30">
        <v>0</v>
      </c>
      <c r="Y82" s="30">
        <f t="shared" si="60"/>
        <v>1065878.7502933333</v>
      </c>
      <c r="Z82" s="30">
        <f t="shared" si="94"/>
        <v>13057014.691093333</v>
      </c>
      <c r="AA82" s="30"/>
      <c r="AB82" s="30"/>
      <c r="AC82" s="30"/>
      <c r="AD82" s="30"/>
      <c r="AE82" s="30">
        <f t="shared" si="95"/>
        <v>0</v>
      </c>
      <c r="AF82" s="30">
        <f t="shared" si="96"/>
        <v>13057014.691093333</v>
      </c>
      <c r="AG82" s="30">
        <f t="shared" si="28"/>
        <v>23022981.006335996</v>
      </c>
      <c r="AH82" s="30">
        <f t="shared" si="29"/>
        <v>16347582.245514534</v>
      </c>
      <c r="AI82" s="30">
        <f t="shared" si="30"/>
        <v>16027041.417171111</v>
      </c>
      <c r="AJ82" s="31">
        <f t="shared" si="106"/>
        <v>8873986.7947441339</v>
      </c>
      <c r="AK82" s="31">
        <f t="shared" si="107"/>
        <v>1285589.8551893756</v>
      </c>
      <c r="AL82" s="30">
        <f t="shared" si="108"/>
        <v>6721693.6736070625</v>
      </c>
      <c r="AM82" s="31">
        <f t="shared" si="109"/>
        <v>1254170.6083713714</v>
      </c>
      <c r="AN82" s="31">
        <f t="shared" si="110"/>
        <v>1254170.6083713714</v>
      </c>
      <c r="AO82" s="30">
        <f t="shared" si="111"/>
        <v>2308359.0870585865</v>
      </c>
      <c r="AP82" s="30">
        <v>0</v>
      </c>
      <c r="AQ82" s="32">
        <f t="shared" si="97"/>
        <v>77095575.296363562</v>
      </c>
      <c r="AR82" s="31">
        <f t="shared" si="112"/>
        <v>833841.21987213939</v>
      </c>
      <c r="AS82" s="31">
        <f t="shared" si="113"/>
        <v>786464.25076354388</v>
      </c>
      <c r="AT82" s="31">
        <f t="shared" si="98"/>
        <v>1620305.4706356833</v>
      </c>
      <c r="AU82" s="33">
        <f t="shared" si="99"/>
        <v>321453903.34062505</v>
      </c>
    </row>
    <row r="83" spans="1:47" ht="15" customHeight="1" thickBot="1" x14ac:dyDescent="0.25">
      <c r="A83" s="41" t="s">
        <v>85</v>
      </c>
      <c r="B83" s="35">
        <v>18</v>
      </c>
      <c r="C83" s="35">
        <v>1</v>
      </c>
      <c r="D83" s="30">
        <v>3068817.8099000002</v>
      </c>
      <c r="E83" s="30">
        <f t="shared" si="88"/>
        <v>36825813.718800001</v>
      </c>
      <c r="F83" s="30">
        <v>0</v>
      </c>
      <c r="G83" s="30">
        <v>0</v>
      </c>
      <c r="H83" s="30">
        <f t="shared" si="100"/>
        <v>0</v>
      </c>
      <c r="I83" s="30">
        <f t="shared" si="104"/>
        <v>0</v>
      </c>
      <c r="J83" s="30">
        <f t="shared" ref="J83:J107" si="114">+(E83+H83+I83+(K83/12))/24</f>
        <v>1538138.3710384201</v>
      </c>
      <c r="K83" s="30">
        <f t="shared" si="91"/>
        <v>1074086.2334650001</v>
      </c>
      <c r="L83" s="30">
        <v>0</v>
      </c>
      <c r="M83" s="30">
        <f t="shared" si="82"/>
        <v>3415126.4543812177</v>
      </c>
      <c r="N83" s="30">
        <f t="shared" si="86"/>
        <v>1543479.1292711925</v>
      </c>
      <c r="O83" s="30"/>
      <c r="P83" s="30">
        <f t="shared" si="105"/>
        <v>44396643.906955838</v>
      </c>
      <c r="Q83" s="30"/>
      <c r="R83" s="30"/>
      <c r="S83" s="30"/>
      <c r="T83" s="30"/>
      <c r="U83" s="30">
        <f t="shared" si="92"/>
        <v>0</v>
      </c>
      <c r="V83" s="30">
        <f t="shared" si="90"/>
        <v>44396643.906955838</v>
      </c>
      <c r="W83" s="30">
        <f t="shared" si="93"/>
        <v>2301613.3574250001</v>
      </c>
      <c r="X83" s="30">
        <v>0</v>
      </c>
      <c r="Y83" s="30">
        <f t="shared" si="60"/>
        <v>204587.85399333335</v>
      </c>
      <c r="Z83" s="30">
        <f t="shared" si="94"/>
        <v>2506201.2114183335</v>
      </c>
      <c r="AA83" s="30"/>
      <c r="AB83" s="30"/>
      <c r="AC83" s="30"/>
      <c r="AD83" s="30"/>
      <c r="AE83" s="30">
        <f t="shared" si="95"/>
        <v>0</v>
      </c>
      <c r="AF83" s="30">
        <f t="shared" si="96"/>
        <v>2506201.2114183335</v>
      </c>
      <c r="AG83" s="30">
        <f t="shared" ref="AG83:AG107" si="115">+(((D83+H83/12)*12%)*12)*C83</f>
        <v>4419097.6462559998</v>
      </c>
      <c r="AH83" s="30">
        <f t="shared" ref="AH83:AH107" si="116">+(E83+H83+I83+K83/12)*0.085</f>
        <v>3137802.2769183773</v>
      </c>
      <c r="AI83" s="30">
        <f t="shared" ref="AI83" si="117">(E83+H83+I83+K83/12)/12</f>
        <v>3076276.7420768403</v>
      </c>
      <c r="AJ83" s="31">
        <f t="shared" si="106"/>
        <v>1703298.7234263248</v>
      </c>
      <c r="AK83" s="31">
        <f t="shared" si="107"/>
        <v>246759.8397251204</v>
      </c>
      <c r="AL83" s="30">
        <f t="shared" si="108"/>
        <v>1290181.3489624227</v>
      </c>
      <c r="AM83" s="31">
        <f t="shared" si="109"/>
        <v>240729.13850435457</v>
      </c>
      <c r="AN83" s="31">
        <f t="shared" si="110"/>
        <v>240729.13850435457</v>
      </c>
      <c r="AO83" s="30">
        <f t="shared" si="111"/>
        <v>443073.12791193021</v>
      </c>
      <c r="AP83" s="30">
        <v>0</v>
      </c>
      <c r="AQ83" s="32">
        <f t="shared" si="97"/>
        <v>14797947.982285725</v>
      </c>
      <c r="AR83" s="31">
        <f t="shared" si="112"/>
        <v>160049.89845034084</v>
      </c>
      <c r="AS83" s="31">
        <f t="shared" si="113"/>
        <v>150956.22580139415</v>
      </c>
      <c r="AT83" s="31">
        <f t="shared" si="98"/>
        <v>311006.12425173499</v>
      </c>
      <c r="AU83" s="33">
        <f t="shared" si="99"/>
        <v>61700793.100659892</v>
      </c>
    </row>
    <row r="84" spans="1:47" ht="15" customHeight="1" thickTop="1" thickBot="1" x14ac:dyDescent="0.25">
      <c r="A84" s="27" t="s">
        <v>86</v>
      </c>
      <c r="B84" s="39"/>
      <c r="C84" s="64">
        <f t="shared" ref="C84:AU84" si="118">SUM(C85:C107)</f>
        <v>131</v>
      </c>
      <c r="D84" s="61">
        <f t="shared" si="118"/>
        <v>38027853.489799999</v>
      </c>
      <c r="E84" s="61">
        <f t="shared" si="118"/>
        <v>2274372223.6547999</v>
      </c>
      <c r="F84" s="61">
        <f t="shared" si="118"/>
        <v>0</v>
      </c>
      <c r="G84" s="61">
        <f t="shared" si="118"/>
        <v>0</v>
      </c>
      <c r="H84" s="61">
        <f t="shared" si="118"/>
        <v>15522468</v>
      </c>
      <c r="I84" s="61">
        <f t="shared" si="118"/>
        <v>21716616</v>
      </c>
      <c r="J84" s="61">
        <f t="shared" si="118"/>
        <v>96604110.21655643</v>
      </c>
      <c r="K84" s="61">
        <f t="shared" si="118"/>
        <v>82648050.510650009</v>
      </c>
      <c r="L84" s="61">
        <f t="shared" si="118"/>
        <v>389643952.89674997</v>
      </c>
      <c r="M84" s="61">
        <f t="shared" si="118"/>
        <v>207297999.2656256</v>
      </c>
      <c r="N84" s="61">
        <f t="shared" si="118"/>
        <v>33951606.805500545</v>
      </c>
      <c r="O84" s="61">
        <f t="shared" si="118"/>
        <v>0</v>
      </c>
      <c r="P84" s="61">
        <f t="shared" si="118"/>
        <v>3121757027.3498831</v>
      </c>
      <c r="Q84" s="61">
        <f t="shared" si="118"/>
        <v>0</v>
      </c>
      <c r="R84" s="61">
        <f t="shared" si="118"/>
        <v>0</v>
      </c>
      <c r="S84" s="61">
        <f t="shared" si="118"/>
        <v>0</v>
      </c>
      <c r="T84" s="61">
        <f t="shared" si="118"/>
        <v>0</v>
      </c>
      <c r="U84" s="61">
        <f t="shared" si="118"/>
        <v>0</v>
      </c>
      <c r="V84" s="61">
        <f t="shared" si="118"/>
        <v>3121757027.3498831</v>
      </c>
      <c r="W84" s="61">
        <f t="shared" si="118"/>
        <v>145307114.28905663</v>
      </c>
      <c r="X84" s="61">
        <f t="shared" si="118"/>
        <v>20000000</v>
      </c>
      <c r="Y84" s="61">
        <f t="shared" si="118"/>
        <v>12635401.242526667</v>
      </c>
      <c r="Z84" s="61">
        <f t="shared" si="118"/>
        <v>177942515.53158337</v>
      </c>
      <c r="AA84" s="61">
        <f t="shared" si="118"/>
        <v>0</v>
      </c>
      <c r="AB84" s="61">
        <f t="shared" si="118"/>
        <v>0</v>
      </c>
      <c r="AC84" s="61">
        <f t="shared" si="118"/>
        <v>0</v>
      </c>
      <c r="AD84" s="61">
        <f t="shared" si="118"/>
        <v>0</v>
      </c>
      <c r="AE84" s="61">
        <f t="shared" si="118"/>
        <v>0</v>
      </c>
      <c r="AF84" s="61">
        <f t="shared" si="118"/>
        <v>177942515.53158337</v>
      </c>
      <c r="AG84" s="61">
        <f t="shared" si="118"/>
        <v>284002807.15857607</v>
      </c>
      <c r="AH84" s="61">
        <f t="shared" si="118"/>
        <v>197072384.84177512</v>
      </c>
      <c r="AI84" s="61">
        <f t="shared" si="118"/>
        <v>189531018.63789999</v>
      </c>
      <c r="AJ84" s="61">
        <f t="shared" si="118"/>
        <v>105196190.22484285</v>
      </c>
      <c r="AK84" s="61">
        <f t="shared" si="118"/>
        <v>15239954.496859169</v>
      </c>
      <c r="AL84" s="61">
        <f t="shared" si="118"/>
        <v>79681949.351185501</v>
      </c>
      <c r="AM84" s="61">
        <f t="shared" si="118"/>
        <v>14867496.757013798</v>
      </c>
      <c r="AN84" s="61">
        <f t="shared" si="118"/>
        <v>14867496.757013798</v>
      </c>
      <c r="AO84" s="61">
        <f t="shared" si="118"/>
        <v>27364316.31533223</v>
      </c>
      <c r="AP84" s="61">
        <f t="shared" si="118"/>
        <v>0</v>
      </c>
      <c r="AQ84" s="62">
        <f t="shared" si="118"/>
        <v>927823614.54049826</v>
      </c>
      <c r="AR84" s="61">
        <f t="shared" si="118"/>
        <v>9884725.0522096083</v>
      </c>
      <c r="AS84" s="61">
        <f t="shared" si="118"/>
        <v>9323097.3678438663</v>
      </c>
      <c r="AT84" s="63">
        <f t="shared" si="118"/>
        <v>19207822.420053475</v>
      </c>
      <c r="AU84" s="62">
        <f t="shared" si="118"/>
        <v>4227523157.4219632</v>
      </c>
    </row>
    <row r="85" spans="1:47" ht="15" customHeight="1" thickTop="1" x14ac:dyDescent="0.2">
      <c r="A85" s="41" t="s">
        <v>87</v>
      </c>
      <c r="B85" s="78" t="s">
        <v>110</v>
      </c>
      <c r="C85" s="35">
        <v>21</v>
      </c>
      <c r="D85" s="30">
        <v>1047281.7823</v>
      </c>
      <c r="E85" s="30">
        <f t="shared" ref="E85:E107" si="119">D85*C85*12</f>
        <v>263915009.13960001</v>
      </c>
      <c r="F85" s="30">
        <v>0</v>
      </c>
      <c r="G85" s="30">
        <v>0</v>
      </c>
      <c r="H85" s="30">
        <f t="shared" si="100"/>
        <v>816972</v>
      </c>
      <c r="I85" s="30">
        <f t="shared" si="104"/>
        <v>1277448</v>
      </c>
      <c r="J85" s="30">
        <f t="shared" si="114"/>
        <v>11121908.362463022</v>
      </c>
      <c r="K85" s="30">
        <f t="shared" si="91"/>
        <v>10996458.71415</v>
      </c>
      <c r="L85" s="30">
        <f t="shared" ref="L85:L104" si="120">+((((D85/30)/8)*50)*12)*C85</f>
        <v>54982293.570749998</v>
      </c>
      <c r="M85" s="30">
        <f t="shared" si="82"/>
        <v>24033351.196978953</v>
      </c>
      <c r="N85" s="30">
        <f t="shared" ref="N85:N107" si="121">+((D85+(F85/12)+(G85/12))/2+J85/12+K85/12)</f>
        <v>2366838.1475344184</v>
      </c>
      <c r="O85" s="30"/>
      <c r="P85" s="30">
        <f t="shared" si="105"/>
        <v>369510279.1314764</v>
      </c>
      <c r="Q85" s="30"/>
      <c r="R85" s="30"/>
      <c r="S85" s="30"/>
      <c r="T85" s="30"/>
      <c r="U85" s="30">
        <f t="shared" ref="U85:U107" si="122">SUM(Q85:T85)</f>
        <v>0</v>
      </c>
      <c r="V85" s="30">
        <f t="shared" ref="V85:V107" si="123">P85+U85</f>
        <v>369510279.1314764</v>
      </c>
      <c r="W85" s="30">
        <f t="shared" ref="W85:W107" si="124">+(E85/360)*23</f>
        <v>16861236.69503</v>
      </c>
      <c r="X85" s="30">
        <v>20000000</v>
      </c>
      <c r="Y85" s="30">
        <f t="shared" si="60"/>
        <v>1466194.4952199999</v>
      </c>
      <c r="Z85" s="30">
        <f t="shared" ref="Z85" si="125">SUM(W85:Y85)</f>
        <v>38327431.190250002</v>
      </c>
      <c r="AA85" s="30"/>
      <c r="AB85" s="30"/>
      <c r="AC85" s="30"/>
      <c r="AD85" s="30"/>
      <c r="AE85" s="30">
        <f t="shared" ref="AE85:AE107" si="126">SUM(AA85:AD85)</f>
        <v>0</v>
      </c>
      <c r="AF85" s="30">
        <f t="shared" ref="AF85:AF107" si="127">Z85+AE85</f>
        <v>38327431.190250002</v>
      </c>
      <c r="AG85" s="30">
        <f t="shared" si="115"/>
        <v>33728570.536752</v>
      </c>
      <c r="AH85" s="30">
        <f t="shared" si="116"/>
        <v>22688693.059424564</v>
      </c>
      <c r="AI85" s="30">
        <f t="shared" ref="AI85:AI107" si="128">+E85/12</f>
        <v>21992917.428300001</v>
      </c>
      <c r="AJ85" s="31">
        <f t="shared" si="106"/>
        <v>12206820.50892576</v>
      </c>
      <c r="AK85" s="31">
        <f t="shared" si="107"/>
        <v>1768423.2547750878</v>
      </c>
      <c r="AL85" s="30">
        <f t="shared" si="108"/>
        <v>9246183.26435869</v>
      </c>
      <c r="AM85" s="31">
        <f t="shared" si="109"/>
        <v>1725203.7734636923</v>
      </c>
      <c r="AN85" s="31">
        <f t="shared" si="110"/>
        <v>1725203.7734636923</v>
      </c>
      <c r="AO85" s="30">
        <f t="shared" si="111"/>
        <v>3175317.4415991856</v>
      </c>
      <c r="AP85" s="30">
        <v>0</v>
      </c>
      <c r="AQ85" s="32">
        <f t="shared" ref="AQ85:AQ107" si="129">SUM(AG85:AP85)</f>
        <v>108257333.04106268</v>
      </c>
      <c r="AR85" s="31">
        <f t="shared" si="112"/>
        <v>1147009.832147985</v>
      </c>
      <c r="AS85" s="31">
        <f t="shared" si="113"/>
        <v>1081839.3319498021</v>
      </c>
      <c r="AT85" s="31">
        <f t="shared" ref="AT85:AT107" si="130">SUM(AR85:AS85)</f>
        <v>2228849.1640977869</v>
      </c>
      <c r="AU85" s="33">
        <f t="shared" ref="AU85:AU107" si="131">V85+AF85+AQ85</f>
        <v>516095043.36278903</v>
      </c>
    </row>
    <row r="86" spans="1:47" ht="15" customHeight="1" x14ac:dyDescent="0.2">
      <c r="A86" s="41" t="s">
        <v>87</v>
      </c>
      <c r="B86" s="78" t="s">
        <v>112</v>
      </c>
      <c r="C86" s="35">
        <v>1</v>
      </c>
      <c r="D86" s="30">
        <v>1180463</v>
      </c>
      <c r="E86" s="30">
        <f t="shared" si="119"/>
        <v>14165556</v>
      </c>
      <c r="F86" s="30">
        <v>0</v>
      </c>
      <c r="G86" s="30">
        <v>0</v>
      </c>
      <c r="H86" s="30">
        <f t="shared" si="100"/>
        <v>816972</v>
      </c>
      <c r="I86" s="30">
        <f t="shared" si="104"/>
        <v>1277448</v>
      </c>
      <c r="J86" s="30">
        <f t="shared" si="114"/>
        <v>679548.41493055562</v>
      </c>
      <c r="K86" s="30">
        <f t="shared" si="91"/>
        <v>590231.5</v>
      </c>
      <c r="L86" s="30">
        <f t="shared" si="120"/>
        <v>2951157.5</v>
      </c>
      <c r="M86" s="30">
        <f t="shared" si="82"/>
        <v>1344281.8673201196</v>
      </c>
      <c r="N86" s="30">
        <f t="shared" si="121"/>
        <v>696046.49291087966</v>
      </c>
      <c r="O86" s="30"/>
      <c r="P86" s="30">
        <f t="shared" si="105"/>
        <v>22521241.775161557</v>
      </c>
      <c r="Q86" s="30"/>
      <c r="R86" s="30"/>
      <c r="S86" s="30"/>
      <c r="T86" s="30"/>
      <c r="U86" s="30">
        <f t="shared" si="122"/>
        <v>0</v>
      </c>
      <c r="V86" s="30">
        <f t="shared" si="123"/>
        <v>22521241.775161557</v>
      </c>
      <c r="W86" s="30">
        <f t="shared" si="124"/>
        <v>905021.63333333342</v>
      </c>
      <c r="X86" s="30">
        <v>0</v>
      </c>
      <c r="Y86" s="30">
        <f t="shared" si="60"/>
        <v>78697.53333333334</v>
      </c>
      <c r="Z86" s="30">
        <f t="shared" ref="Z86:Z107" si="132">SUM(W86:Y86)</f>
        <v>983719.16666666674</v>
      </c>
      <c r="AA86" s="30"/>
      <c r="AB86" s="30"/>
      <c r="AC86" s="30"/>
      <c r="AD86" s="30"/>
      <c r="AE86" s="30">
        <f t="shared" si="126"/>
        <v>0</v>
      </c>
      <c r="AF86" s="30">
        <f t="shared" si="127"/>
        <v>983719.16666666674</v>
      </c>
      <c r="AG86" s="30">
        <f t="shared" si="115"/>
        <v>1797903.3599999999</v>
      </c>
      <c r="AH86" s="30">
        <f t="shared" si="116"/>
        <v>1386278.7664583335</v>
      </c>
      <c r="AI86" s="30">
        <f t="shared" si="128"/>
        <v>1180463</v>
      </c>
      <c r="AJ86" s="31">
        <f t="shared" si="106"/>
        <v>655197.29273779504</v>
      </c>
      <c r="AK86" s="31">
        <f t="shared" si="107"/>
        <v>94919.56796579159</v>
      </c>
      <c r="AL86" s="30">
        <f t="shared" si="108"/>
        <v>496286.00982013228</v>
      </c>
      <c r="AM86" s="31">
        <f t="shared" si="109"/>
        <v>92599.775753884154</v>
      </c>
      <c r="AN86" s="31">
        <f t="shared" si="110"/>
        <v>92599.775753884154</v>
      </c>
      <c r="AO86" s="30">
        <f t="shared" si="111"/>
        <v>170434.17569690925</v>
      </c>
      <c r="AP86" s="30">
        <v>0</v>
      </c>
      <c r="AQ86" s="32">
        <f t="shared" si="129"/>
        <v>5966681.7241867315</v>
      </c>
      <c r="AR86" s="31">
        <f t="shared" si="112"/>
        <v>61565.395855331415</v>
      </c>
      <c r="AS86" s="31">
        <f t="shared" si="113"/>
        <v>58067.389534603179</v>
      </c>
      <c r="AT86" s="31">
        <f t="shared" si="130"/>
        <v>119632.78538993459</v>
      </c>
      <c r="AU86" s="33">
        <f t="shared" si="131"/>
        <v>29471642.666014954</v>
      </c>
    </row>
    <row r="87" spans="1:47" ht="15" customHeight="1" x14ac:dyDescent="0.2">
      <c r="A87" s="41" t="s">
        <v>87</v>
      </c>
      <c r="B87" s="35">
        <v>10</v>
      </c>
      <c r="C87" s="35">
        <v>1</v>
      </c>
      <c r="D87" s="30">
        <v>1297465</v>
      </c>
      <c r="E87" s="30">
        <f t="shared" si="119"/>
        <v>15569580</v>
      </c>
      <c r="F87" s="30">
        <v>0</v>
      </c>
      <c r="G87" s="30">
        <v>0</v>
      </c>
      <c r="H87" s="30">
        <f t="shared" si="100"/>
        <v>816972</v>
      </c>
      <c r="I87" s="30">
        <f t="shared" si="104"/>
        <v>1277448</v>
      </c>
      <c r="J87" s="30">
        <f t="shared" si="114"/>
        <v>738252.54340277787</v>
      </c>
      <c r="K87" s="30">
        <f t="shared" si="91"/>
        <v>648732.5</v>
      </c>
      <c r="L87" s="30">
        <f t="shared" si="120"/>
        <v>3243662.5000000005</v>
      </c>
      <c r="M87" s="30">
        <f t="shared" si="82"/>
        <v>1476739.9691960842</v>
      </c>
      <c r="N87" s="30">
        <f t="shared" si="121"/>
        <v>764314.58695023146</v>
      </c>
      <c r="O87" s="30"/>
      <c r="P87" s="30">
        <f t="shared" si="105"/>
        <v>24535702.099549092</v>
      </c>
      <c r="Q87" s="30"/>
      <c r="R87" s="30"/>
      <c r="S87" s="30"/>
      <c r="T87" s="30"/>
      <c r="U87" s="30">
        <f t="shared" si="122"/>
        <v>0</v>
      </c>
      <c r="V87" s="30">
        <f t="shared" si="123"/>
        <v>24535702.099549092</v>
      </c>
      <c r="W87" s="30">
        <f t="shared" si="124"/>
        <v>994723.16666666674</v>
      </c>
      <c r="X87" s="30">
        <v>0</v>
      </c>
      <c r="Y87" s="30">
        <f t="shared" si="60"/>
        <v>86497.666666666672</v>
      </c>
      <c r="Z87" s="30">
        <f t="shared" si="132"/>
        <v>1081220.8333333335</v>
      </c>
      <c r="AA87" s="30"/>
      <c r="AB87" s="30"/>
      <c r="AC87" s="30"/>
      <c r="AD87" s="30"/>
      <c r="AE87" s="30">
        <f t="shared" si="126"/>
        <v>0</v>
      </c>
      <c r="AF87" s="30">
        <f t="shared" si="127"/>
        <v>1081220.8333333335</v>
      </c>
      <c r="AG87" s="30">
        <f t="shared" si="115"/>
        <v>1966386.2399999998</v>
      </c>
      <c r="AH87" s="30">
        <f t="shared" si="116"/>
        <v>1506035.1885416668</v>
      </c>
      <c r="AI87" s="30">
        <f t="shared" si="128"/>
        <v>1297465</v>
      </c>
      <c r="AJ87" s="31">
        <f t="shared" si="106"/>
        <v>720137.39983552496</v>
      </c>
      <c r="AK87" s="31">
        <f t="shared" si="107"/>
        <v>104327.55389261316</v>
      </c>
      <c r="AL87" s="30">
        <f t="shared" si="108"/>
        <v>545475.56995117839</v>
      </c>
      <c r="AM87" s="31">
        <f t="shared" si="109"/>
        <v>101777.83467039061</v>
      </c>
      <c r="AN87" s="31">
        <f t="shared" si="110"/>
        <v>101777.83467039061</v>
      </c>
      <c r="AO87" s="30">
        <f t="shared" si="111"/>
        <v>187326.81818116314</v>
      </c>
      <c r="AP87" s="30">
        <v>0</v>
      </c>
      <c r="AQ87" s="32">
        <f t="shared" si="129"/>
        <v>6530709.4397429284</v>
      </c>
      <c r="AR87" s="31">
        <f t="shared" si="112"/>
        <v>67667.471435731219</v>
      </c>
      <c r="AS87" s="31">
        <f t="shared" si="113"/>
        <v>63822.759004317733</v>
      </c>
      <c r="AT87" s="31">
        <f t="shared" si="130"/>
        <v>131490.23044004897</v>
      </c>
      <c r="AU87" s="33">
        <f t="shared" si="131"/>
        <v>32147632.372625351</v>
      </c>
    </row>
    <row r="88" spans="1:47" ht="15" customHeight="1" x14ac:dyDescent="0.2">
      <c r="A88" s="41" t="s">
        <v>87</v>
      </c>
      <c r="B88" s="35">
        <v>12</v>
      </c>
      <c r="C88" s="35">
        <v>2</v>
      </c>
      <c r="D88" s="30">
        <v>1503728.0019</v>
      </c>
      <c r="E88" s="30">
        <f t="shared" si="119"/>
        <v>36089472.045599997</v>
      </c>
      <c r="F88" s="30">
        <v>0</v>
      </c>
      <c r="G88" s="30">
        <v>0</v>
      </c>
      <c r="H88" s="30">
        <f t="shared" si="100"/>
        <v>816972</v>
      </c>
      <c r="I88" s="30">
        <f t="shared" si="104"/>
        <v>1277448</v>
      </c>
      <c r="J88" s="30">
        <f t="shared" si="114"/>
        <v>1596216.7796843748</v>
      </c>
      <c r="K88" s="30">
        <f t="shared" si="91"/>
        <v>1503728.0019</v>
      </c>
      <c r="L88" s="30">
        <f t="shared" si="120"/>
        <v>7518640.0095000006</v>
      </c>
      <c r="M88" s="30">
        <f t="shared" si="82"/>
        <v>3349967.4633277562</v>
      </c>
      <c r="N88" s="30">
        <f t="shared" si="121"/>
        <v>1010192.7327486979</v>
      </c>
      <c r="O88" s="30"/>
      <c r="P88" s="30">
        <f t="shared" si="105"/>
        <v>53162637.032760829</v>
      </c>
      <c r="Q88" s="30"/>
      <c r="R88" s="30"/>
      <c r="S88" s="30"/>
      <c r="T88" s="30"/>
      <c r="U88" s="30">
        <f t="shared" si="122"/>
        <v>0</v>
      </c>
      <c r="V88" s="30">
        <f t="shared" si="123"/>
        <v>53162637.032760829</v>
      </c>
      <c r="W88" s="30">
        <f t="shared" si="124"/>
        <v>2305716.2695799996</v>
      </c>
      <c r="X88" s="30">
        <v>0</v>
      </c>
      <c r="Y88" s="30">
        <f t="shared" si="60"/>
        <v>200497.06692000001</v>
      </c>
      <c r="Z88" s="30">
        <f t="shared" si="132"/>
        <v>2506213.3364999997</v>
      </c>
      <c r="AA88" s="30"/>
      <c r="AB88" s="30"/>
      <c r="AC88" s="30"/>
      <c r="AD88" s="30"/>
      <c r="AE88" s="30">
        <f t="shared" si="126"/>
        <v>0</v>
      </c>
      <c r="AF88" s="30">
        <f t="shared" si="127"/>
        <v>2506213.3364999997</v>
      </c>
      <c r="AG88" s="30">
        <f t="shared" si="115"/>
        <v>4526809.9254720006</v>
      </c>
      <c r="AH88" s="30">
        <f t="shared" si="116"/>
        <v>3256282.2305561248</v>
      </c>
      <c r="AI88" s="30">
        <f t="shared" si="128"/>
        <v>3007456.0037999996</v>
      </c>
      <c r="AJ88" s="31">
        <f t="shared" si="106"/>
        <v>1669240.824759258</v>
      </c>
      <c r="AK88" s="31">
        <f t="shared" si="107"/>
        <v>241825.8128859796</v>
      </c>
      <c r="AL88" s="30">
        <f t="shared" si="108"/>
        <v>1264383.8390830569</v>
      </c>
      <c r="AM88" s="31">
        <f t="shared" si="109"/>
        <v>235915.69709643806</v>
      </c>
      <c r="AN88" s="31">
        <f t="shared" si="110"/>
        <v>235915.69709643806</v>
      </c>
      <c r="AO88" s="30">
        <f t="shared" si="111"/>
        <v>434213.76608362468</v>
      </c>
      <c r="AP88" s="30">
        <v>0</v>
      </c>
      <c r="AQ88" s="32">
        <f t="shared" si="129"/>
        <v>14872043.796832917</v>
      </c>
      <c r="AR88" s="31">
        <f t="shared" si="112"/>
        <v>156849.65932133418</v>
      </c>
      <c r="AS88" s="31">
        <f t="shared" si="113"/>
        <v>147937.81700979668</v>
      </c>
      <c r="AT88" s="31">
        <f t="shared" si="130"/>
        <v>304787.47633113083</v>
      </c>
      <c r="AU88" s="33">
        <f t="shared" si="131"/>
        <v>70540894.166093737</v>
      </c>
    </row>
    <row r="89" spans="1:47" ht="15" customHeight="1" x14ac:dyDescent="0.2">
      <c r="A89" s="41" t="s">
        <v>87</v>
      </c>
      <c r="B89" s="35">
        <v>14</v>
      </c>
      <c r="C89" s="35">
        <v>3</v>
      </c>
      <c r="D89" s="30">
        <v>1586345</v>
      </c>
      <c r="E89" s="30">
        <f t="shared" si="119"/>
        <v>57108420</v>
      </c>
      <c r="F89" s="30">
        <v>0</v>
      </c>
      <c r="G89" s="30">
        <v>0</v>
      </c>
      <c r="H89" s="30">
        <f t="shared" si="100"/>
        <v>816972</v>
      </c>
      <c r="I89" s="30">
        <f t="shared" si="104"/>
        <v>1277448</v>
      </c>
      <c r="J89" s="30">
        <f t="shared" si="114"/>
        <v>2475047.2135416665</v>
      </c>
      <c r="K89" s="30">
        <f t="shared" si="91"/>
        <v>2379517.5</v>
      </c>
      <c r="L89" s="30">
        <f t="shared" si="120"/>
        <v>11897587.499999998</v>
      </c>
      <c r="M89" s="30">
        <f t="shared" si="82"/>
        <v>5263392.0227502901</v>
      </c>
      <c r="N89" s="30">
        <f t="shared" si="121"/>
        <v>1197719.5594618055</v>
      </c>
      <c r="O89" s="30"/>
      <c r="P89" s="30">
        <f t="shared" si="105"/>
        <v>82416103.795753747</v>
      </c>
      <c r="Q89" s="30"/>
      <c r="R89" s="30"/>
      <c r="S89" s="30"/>
      <c r="T89" s="30"/>
      <c r="U89" s="30">
        <f t="shared" si="122"/>
        <v>0</v>
      </c>
      <c r="V89" s="30">
        <f t="shared" si="123"/>
        <v>82416103.795753747</v>
      </c>
      <c r="W89" s="30">
        <f t="shared" si="124"/>
        <v>3648593.5</v>
      </c>
      <c r="X89" s="30">
        <v>0</v>
      </c>
      <c r="Y89" s="30">
        <f t="shared" si="60"/>
        <v>317269</v>
      </c>
      <c r="Z89" s="30">
        <f t="shared" si="132"/>
        <v>3965862.5</v>
      </c>
      <c r="AA89" s="30"/>
      <c r="AB89" s="30"/>
      <c r="AC89" s="30"/>
      <c r="AD89" s="30"/>
      <c r="AE89" s="30">
        <f t="shared" si="126"/>
        <v>0</v>
      </c>
      <c r="AF89" s="30">
        <f t="shared" si="127"/>
        <v>3965862.5</v>
      </c>
      <c r="AG89" s="30">
        <f t="shared" si="115"/>
        <v>7147120.3200000003</v>
      </c>
      <c r="AH89" s="30">
        <f t="shared" si="116"/>
        <v>5049096.3156250007</v>
      </c>
      <c r="AI89" s="30">
        <f t="shared" si="128"/>
        <v>4759035</v>
      </c>
      <c r="AJ89" s="31">
        <f t="shared" si="106"/>
        <v>2641427.0062207906</v>
      </c>
      <c r="AK89" s="31">
        <f t="shared" si="107"/>
        <v>382668.11084640602</v>
      </c>
      <c r="AL89" s="30">
        <f t="shared" si="108"/>
        <v>2000776.3824400706</v>
      </c>
      <c r="AM89" s="31">
        <f t="shared" si="109"/>
        <v>373315.87165788852</v>
      </c>
      <c r="AN89" s="31">
        <f t="shared" si="110"/>
        <v>373315.87165788852</v>
      </c>
      <c r="AO89" s="30">
        <f t="shared" si="111"/>
        <v>687105.15055341902</v>
      </c>
      <c r="AP89" s="30">
        <v>0</v>
      </c>
      <c r="AQ89" s="32">
        <f t="shared" si="129"/>
        <v>23413860.029001471</v>
      </c>
      <c r="AR89" s="31">
        <f t="shared" si="112"/>
        <v>248200.81075338842</v>
      </c>
      <c r="AS89" s="31">
        <f t="shared" si="113"/>
        <v>234098.60296664125</v>
      </c>
      <c r="AT89" s="31">
        <f t="shared" si="130"/>
        <v>482299.41372002964</v>
      </c>
      <c r="AU89" s="33">
        <f t="shared" si="131"/>
        <v>109795826.32475522</v>
      </c>
    </row>
    <row r="90" spans="1:47" ht="15" customHeight="1" x14ac:dyDescent="0.2">
      <c r="A90" s="41" t="s">
        <v>87</v>
      </c>
      <c r="B90" s="35">
        <v>15</v>
      </c>
      <c r="C90" s="35">
        <v>2</v>
      </c>
      <c r="D90" s="30">
        <v>1635650.6006</v>
      </c>
      <c r="E90" s="30">
        <f t="shared" si="119"/>
        <v>39255614.414399996</v>
      </c>
      <c r="F90" s="30">
        <v>0</v>
      </c>
      <c r="G90" s="30">
        <v>0</v>
      </c>
      <c r="H90" s="30">
        <f t="shared" si="100"/>
        <v>816972</v>
      </c>
      <c r="I90" s="30">
        <f t="shared" si="104"/>
        <v>1277448</v>
      </c>
      <c r="J90" s="30">
        <f t="shared" si="114"/>
        <v>1728597.4429631943</v>
      </c>
      <c r="K90" s="30">
        <f t="shared" si="91"/>
        <v>1635650.6006</v>
      </c>
      <c r="L90" s="30">
        <f t="shared" si="120"/>
        <v>8178253.0029999996</v>
      </c>
      <c r="M90" s="30">
        <f t="shared" si="82"/>
        <v>3643170.1468244544</v>
      </c>
      <c r="N90" s="30">
        <f t="shared" si="121"/>
        <v>1098179.3039302663</v>
      </c>
      <c r="O90" s="30"/>
      <c r="P90" s="30">
        <f t="shared" si="105"/>
        <v>57633884.911717914</v>
      </c>
      <c r="Q90" s="30"/>
      <c r="R90" s="30"/>
      <c r="S90" s="30"/>
      <c r="T90" s="30"/>
      <c r="U90" s="30">
        <f t="shared" si="122"/>
        <v>0</v>
      </c>
      <c r="V90" s="30">
        <f t="shared" si="123"/>
        <v>57633884.911717914</v>
      </c>
      <c r="W90" s="30">
        <f t="shared" si="124"/>
        <v>2507997.5875866665</v>
      </c>
      <c r="X90" s="30">
        <v>0</v>
      </c>
      <c r="Y90" s="30">
        <f t="shared" si="60"/>
        <v>218086.74674666667</v>
      </c>
      <c r="Z90" s="30">
        <f t="shared" si="132"/>
        <v>2726084.3343333332</v>
      </c>
      <c r="AA90" s="30"/>
      <c r="AB90" s="30"/>
      <c r="AC90" s="30"/>
      <c r="AD90" s="30"/>
      <c r="AE90" s="30">
        <f t="shared" si="126"/>
        <v>0</v>
      </c>
      <c r="AF90" s="30">
        <f t="shared" si="127"/>
        <v>2726084.3343333332</v>
      </c>
      <c r="AG90" s="30">
        <f t="shared" si="115"/>
        <v>4906747.0097279996</v>
      </c>
      <c r="AH90" s="30">
        <f t="shared" si="116"/>
        <v>3526338.783644917</v>
      </c>
      <c r="AI90" s="30">
        <f t="shared" si="128"/>
        <v>3271301.2011999995</v>
      </c>
      <c r="AJ90" s="31">
        <f t="shared" si="106"/>
        <v>1815683.9229659354</v>
      </c>
      <c r="AK90" s="31">
        <f t="shared" si="107"/>
        <v>263041.27846775297</v>
      </c>
      <c r="AL90" s="30">
        <f t="shared" si="108"/>
        <v>1375308.6882548234</v>
      </c>
      <c r="AM90" s="31">
        <f t="shared" si="109"/>
        <v>256612.66609333106</v>
      </c>
      <c r="AN90" s="31">
        <f t="shared" si="110"/>
        <v>256612.66609333106</v>
      </c>
      <c r="AO90" s="30">
        <f t="shared" si="111"/>
        <v>472307.49602726311</v>
      </c>
      <c r="AP90" s="30">
        <v>0</v>
      </c>
      <c r="AQ90" s="32">
        <f t="shared" si="129"/>
        <v>16143953.712475352</v>
      </c>
      <c r="AR90" s="31">
        <f t="shared" si="112"/>
        <v>170610.13637352391</v>
      </c>
      <c r="AS90" s="31">
        <f t="shared" si="113"/>
        <v>160916.45492920632</v>
      </c>
      <c r="AT90" s="31">
        <f t="shared" si="130"/>
        <v>331526.59130273026</v>
      </c>
      <c r="AU90" s="33">
        <f t="shared" si="131"/>
        <v>76503922.958526596</v>
      </c>
    </row>
    <row r="91" spans="1:47" ht="15" customHeight="1" x14ac:dyDescent="0.2">
      <c r="A91" s="41" t="s">
        <v>87</v>
      </c>
      <c r="B91" s="35">
        <v>16</v>
      </c>
      <c r="C91" s="35">
        <v>5</v>
      </c>
      <c r="D91" s="30">
        <v>1708377</v>
      </c>
      <c r="E91" s="30">
        <f t="shared" si="119"/>
        <v>102502620</v>
      </c>
      <c r="F91" s="30">
        <v>0</v>
      </c>
      <c r="G91" s="30">
        <v>0</v>
      </c>
      <c r="H91" s="30">
        <f t="shared" si="100"/>
        <v>816972</v>
      </c>
      <c r="I91" s="30">
        <f t="shared" si="104"/>
        <v>1277448</v>
      </c>
      <c r="J91" s="30">
        <f t="shared" si="114"/>
        <v>4368590.763020833</v>
      </c>
      <c r="K91" s="30">
        <f t="shared" si="91"/>
        <v>2989659.75</v>
      </c>
      <c r="L91" s="30">
        <f t="shared" si="120"/>
        <v>21354712.5</v>
      </c>
      <c r="M91" s="30">
        <f t="shared" si="82"/>
        <v>9277353.879647715</v>
      </c>
      <c r="N91" s="30">
        <f t="shared" si="121"/>
        <v>1467376.042751736</v>
      </c>
      <c r="O91" s="30"/>
      <c r="P91" s="30">
        <f t="shared" si="105"/>
        <v>144054732.93542027</v>
      </c>
      <c r="Q91" s="30"/>
      <c r="R91" s="30"/>
      <c r="S91" s="30"/>
      <c r="T91" s="30"/>
      <c r="U91" s="30">
        <f t="shared" si="122"/>
        <v>0</v>
      </c>
      <c r="V91" s="30">
        <f t="shared" si="123"/>
        <v>144054732.93542027</v>
      </c>
      <c r="W91" s="30">
        <f t="shared" si="124"/>
        <v>6548778.5</v>
      </c>
      <c r="X91" s="30">
        <v>0</v>
      </c>
      <c r="Y91" s="30">
        <f t="shared" ref="Y91:Y107" si="133">+((D91/30)*2)*C91</f>
        <v>569459</v>
      </c>
      <c r="Z91" s="30">
        <f t="shared" si="132"/>
        <v>7118237.5</v>
      </c>
      <c r="AA91" s="30"/>
      <c r="AB91" s="30"/>
      <c r="AC91" s="30"/>
      <c r="AD91" s="30"/>
      <c r="AE91" s="30">
        <f t="shared" si="126"/>
        <v>0</v>
      </c>
      <c r="AF91" s="30">
        <f t="shared" si="127"/>
        <v>7118237.5</v>
      </c>
      <c r="AG91" s="30">
        <f t="shared" si="115"/>
        <v>12790497.6</v>
      </c>
      <c r="AH91" s="30">
        <f t="shared" si="116"/>
        <v>8911925.1565625016</v>
      </c>
      <c r="AI91" s="30">
        <f t="shared" si="128"/>
        <v>8541885</v>
      </c>
      <c r="AJ91" s="31">
        <f t="shared" si="106"/>
        <v>4741037.988380475</v>
      </c>
      <c r="AK91" s="31">
        <f t="shared" si="107"/>
        <v>686842.39473280881</v>
      </c>
      <c r="AL91" s="30">
        <f t="shared" si="108"/>
        <v>3591148.5772891147</v>
      </c>
      <c r="AM91" s="31">
        <f t="shared" si="109"/>
        <v>670056.27073060884</v>
      </c>
      <c r="AN91" s="31">
        <f t="shared" si="110"/>
        <v>670056.27073060884</v>
      </c>
      <c r="AO91" s="30">
        <f t="shared" si="111"/>
        <v>1233269.5974992809</v>
      </c>
      <c r="AP91" s="30">
        <v>0</v>
      </c>
      <c r="AQ91" s="32">
        <f t="shared" si="129"/>
        <v>41836718.855925396</v>
      </c>
      <c r="AR91" s="31">
        <f t="shared" si="112"/>
        <v>445490.05888004758</v>
      </c>
      <c r="AS91" s="31">
        <f t="shared" si="113"/>
        <v>420178.32295868988</v>
      </c>
      <c r="AT91" s="31">
        <f t="shared" si="130"/>
        <v>865668.38183873752</v>
      </c>
      <c r="AU91" s="33">
        <f t="shared" si="131"/>
        <v>193009689.29134566</v>
      </c>
    </row>
    <row r="92" spans="1:47" ht="15" customHeight="1" x14ac:dyDescent="0.2">
      <c r="A92" s="41" t="s">
        <v>88</v>
      </c>
      <c r="B92" s="78" t="s">
        <v>110</v>
      </c>
      <c r="C92" s="35">
        <v>9</v>
      </c>
      <c r="D92" s="30">
        <v>1047281.7823</v>
      </c>
      <c r="E92" s="30">
        <f t="shared" si="119"/>
        <v>113106432.4884</v>
      </c>
      <c r="F92" s="30">
        <v>0</v>
      </c>
      <c r="G92" s="30">
        <v>0</v>
      </c>
      <c r="H92" s="30">
        <f t="shared" si="100"/>
        <v>816972</v>
      </c>
      <c r="I92" s="30">
        <f t="shared" si="104"/>
        <v>1277448</v>
      </c>
      <c r="J92" s="30">
        <f t="shared" si="114"/>
        <v>4816399.2981984373</v>
      </c>
      <c r="K92" s="30">
        <f t="shared" si="91"/>
        <v>4712768.0203499999</v>
      </c>
      <c r="L92" s="30">
        <f t="shared" si="120"/>
        <v>23563840.101749998</v>
      </c>
      <c r="M92" s="30">
        <f t="shared" si="82"/>
        <v>10329444.831220346</v>
      </c>
      <c r="N92" s="30">
        <f t="shared" si="121"/>
        <v>1317738.167695703</v>
      </c>
      <c r="O92" s="30"/>
      <c r="P92" s="30">
        <f t="shared" si="105"/>
        <v>159941042.90761447</v>
      </c>
      <c r="Q92" s="30"/>
      <c r="R92" s="30"/>
      <c r="S92" s="30"/>
      <c r="T92" s="30"/>
      <c r="U92" s="30">
        <f t="shared" si="122"/>
        <v>0</v>
      </c>
      <c r="V92" s="30">
        <f t="shared" si="123"/>
        <v>159941042.90761447</v>
      </c>
      <c r="W92" s="30">
        <f t="shared" si="124"/>
        <v>7226244.2978699999</v>
      </c>
      <c r="X92" s="30">
        <v>0</v>
      </c>
      <c r="Y92" s="30">
        <f t="shared" si="133"/>
        <v>628369.06938</v>
      </c>
      <c r="Z92" s="30">
        <f t="shared" si="132"/>
        <v>7854613.3672500001</v>
      </c>
      <c r="AA92" s="30"/>
      <c r="AB92" s="30"/>
      <c r="AC92" s="30"/>
      <c r="AD92" s="30"/>
      <c r="AE92" s="30">
        <f t="shared" si="126"/>
        <v>0</v>
      </c>
      <c r="AF92" s="30">
        <f t="shared" si="127"/>
        <v>7854613.3672500001</v>
      </c>
      <c r="AG92" s="30">
        <f t="shared" si="115"/>
        <v>14455101.658608001</v>
      </c>
      <c r="AH92" s="30">
        <f t="shared" si="116"/>
        <v>9825454.5683248136</v>
      </c>
      <c r="AI92" s="30">
        <f t="shared" si="128"/>
        <v>9425536.0406999998</v>
      </c>
      <c r="AJ92" s="31">
        <f t="shared" si="106"/>
        <v>5231494.5038253255</v>
      </c>
      <c r="AK92" s="31">
        <f t="shared" si="107"/>
        <v>757895.68061789474</v>
      </c>
      <c r="AL92" s="30">
        <f t="shared" si="108"/>
        <v>3962649.9704394387</v>
      </c>
      <c r="AM92" s="31">
        <f t="shared" si="109"/>
        <v>739373.04577015387</v>
      </c>
      <c r="AN92" s="31">
        <f t="shared" si="110"/>
        <v>739373.04577015387</v>
      </c>
      <c r="AO92" s="30">
        <f t="shared" si="111"/>
        <v>1360850.3321139368</v>
      </c>
      <c r="AP92" s="30">
        <v>0</v>
      </c>
      <c r="AQ92" s="32">
        <f t="shared" si="129"/>
        <v>46497728.84616971</v>
      </c>
      <c r="AR92" s="31">
        <f t="shared" si="112"/>
        <v>491575.64234913641</v>
      </c>
      <c r="AS92" s="31">
        <f t="shared" si="113"/>
        <v>463645.42797848664</v>
      </c>
      <c r="AT92" s="31">
        <f t="shared" si="130"/>
        <v>955221.07032762305</v>
      </c>
      <c r="AU92" s="33">
        <f t="shared" si="131"/>
        <v>214293385.12103418</v>
      </c>
    </row>
    <row r="93" spans="1:47" ht="15" customHeight="1" x14ac:dyDescent="0.2">
      <c r="A93" s="41" t="s">
        <v>89</v>
      </c>
      <c r="B93" s="35">
        <v>11</v>
      </c>
      <c r="C93" s="35">
        <v>8</v>
      </c>
      <c r="D93" s="30">
        <v>1400462</v>
      </c>
      <c r="E93" s="30">
        <f t="shared" si="119"/>
        <v>134444352</v>
      </c>
      <c r="F93" s="30">
        <v>0</v>
      </c>
      <c r="G93" s="30">
        <v>0</v>
      </c>
      <c r="H93" s="30">
        <f t="shared" si="100"/>
        <v>816972</v>
      </c>
      <c r="I93" s="30">
        <f t="shared" si="104"/>
        <v>1277448</v>
      </c>
      <c r="J93" s="30">
        <f t="shared" si="114"/>
        <v>5708566.361111111</v>
      </c>
      <c r="K93" s="30">
        <f t="shared" si="91"/>
        <v>5601848</v>
      </c>
      <c r="L93" s="30">
        <f t="shared" si="120"/>
        <v>28009240</v>
      </c>
      <c r="M93" s="30">
        <f t="shared" si="82"/>
        <v>12283127.657600308</v>
      </c>
      <c r="N93" s="30">
        <f t="shared" si="121"/>
        <v>1642765.5300925926</v>
      </c>
      <c r="O93" s="30"/>
      <c r="P93" s="30">
        <f t="shared" si="105"/>
        <v>189784319.54880401</v>
      </c>
      <c r="Q93" s="30"/>
      <c r="R93" s="30"/>
      <c r="S93" s="30"/>
      <c r="T93" s="30"/>
      <c r="U93" s="30">
        <f t="shared" si="122"/>
        <v>0</v>
      </c>
      <c r="V93" s="30">
        <f t="shared" si="123"/>
        <v>189784319.54880401</v>
      </c>
      <c r="W93" s="30">
        <f t="shared" si="124"/>
        <v>8589500.2666666657</v>
      </c>
      <c r="X93" s="30">
        <v>0</v>
      </c>
      <c r="Y93" s="30">
        <f t="shared" si="133"/>
        <v>746913.06666666665</v>
      </c>
      <c r="Z93" s="30">
        <f t="shared" si="132"/>
        <v>9336413.3333333321</v>
      </c>
      <c r="AA93" s="30"/>
      <c r="AB93" s="30"/>
      <c r="AC93" s="30"/>
      <c r="AD93" s="30"/>
      <c r="AE93" s="30">
        <f t="shared" si="126"/>
        <v>0</v>
      </c>
      <c r="AF93" s="30">
        <f t="shared" si="127"/>
        <v>9336413.3333333321</v>
      </c>
      <c r="AG93" s="30">
        <f t="shared" si="115"/>
        <v>16917615.359999999</v>
      </c>
      <c r="AH93" s="30">
        <f t="shared" si="116"/>
        <v>11645475.376666667</v>
      </c>
      <c r="AI93" s="30">
        <f t="shared" si="128"/>
        <v>11203696</v>
      </c>
      <c r="AJ93" s="31">
        <f t="shared" si="106"/>
        <v>6218434.0278833508</v>
      </c>
      <c r="AK93" s="31">
        <f t="shared" si="107"/>
        <v>900875.32090380439</v>
      </c>
      <c r="AL93" s="30">
        <f t="shared" si="108"/>
        <v>4710217.5867246808</v>
      </c>
      <c r="AM93" s="31">
        <f t="shared" si="109"/>
        <v>878858.32695704047</v>
      </c>
      <c r="AN93" s="31">
        <f t="shared" si="110"/>
        <v>878858.32695704047</v>
      </c>
      <c r="AO93" s="30">
        <f t="shared" si="111"/>
        <v>1617579.4518919776</v>
      </c>
      <c r="AP93" s="30">
        <v>0</v>
      </c>
      <c r="AQ93" s="32">
        <f t="shared" si="129"/>
        <v>54971609.777984567</v>
      </c>
      <c r="AR93" s="31">
        <f t="shared" si="112"/>
        <v>584313.0867149526</v>
      </c>
      <c r="AS93" s="31">
        <f t="shared" si="113"/>
        <v>551113.74084513914</v>
      </c>
      <c r="AT93" s="31">
        <f t="shared" si="130"/>
        <v>1135426.8275600919</v>
      </c>
      <c r="AU93" s="33">
        <f t="shared" si="131"/>
        <v>254092342.66012192</v>
      </c>
    </row>
    <row r="94" spans="1:47" ht="15" customHeight="1" x14ac:dyDescent="0.2">
      <c r="A94" s="41" t="s">
        <v>89</v>
      </c>
      <c r="B94" s="35">
        <v>15</v>
      </c>
      <c r="C94" s="35">
        <v>2</v>
      </c>
      <c r="D94" s="30">
        <v>1635650.6006</v>
      </c>
      <c r="E94" s="30">
        <f t="shared" si="119"/>
        <v>39255614.414399996</v>
      </c>
      <c r="F94" s="30">
        <v>0</v>
      </c>
      <c r="G94" s="30">
        <v>0</v>
      </c>
      <c r="H94" s="30">
        <f t="shared" si="100"/>
        <v>816972</v>
      </c>
      <c r="I94" s="30">
        <f t="shared" si="104"/>
        <v>1277448</v>
      </c>
      <c r="J94" s="30">
        <f t="shared" si="114"/>
        <v>1728597.4429631943</v>
      </c>
      <c r="K94" s="30">
        <f t="shared" si="91"/>
        <v>1635650.6006</v>
      </c>
      <c r="L94" s="30">
        <f t="shared" si="120"/>
        <v>8178253.0029999996</v>
      </c>
      <c r="M94" s="30">
        <f t="shared" si="82"/>
        <v>3643170.1468244544</v>
      </c>
      <c r="N94" s="30">
        <f t="shared" si="121"/>
        <v>1098179.3039302663</v>
      </c>
      <c r="O94" s="30"/>
      <c r="P94" s="30">
        <f t="shared" si="105"/>
        <v>57633884.911717914</v>
      </c>
      <c r="Q94" s="30"/>
      <c r="R94" s="30"/>
      <c r="S94" s="30"/>
      <c r="T94" s="30"/>
      <c r="U94" s="30">
        <f t="shared" si="122"/>
        <v>0</v>
      </c>
      <c r="V94" s="30">
        <f t="shared" si="123"/>
        <v>57633884.911717914</v>
      </c>
      <c r="W94" s="30">
        <f t="shared" si="124"/>
        <v>2507997.5875866665</v>
      </c>
      <c r="X94" s="30">
        <v>0</v>
      </c>
      <c r="Y94" s="30">
        <f t="shared" si="133"/>
        <v>218086.74674666667</v>
      </c>
      <c r="Z94" s="30">
        <f t="shared" si="132"/>
        <v>2726084.3343333332</v>
      </c>
      <c r="AA94" s="30"/>
      <c r="AB94" s="30"/>
      <c r="AC94" s="30"/>
      <c r="AD94" s="30"/>
      <c r="AE94" s="30">
        <f t="shared" si="126"/>
        <v>0</v>
      </c>
      <c r="AF94" s="30">
        <f t="shared" si="127"/>
        <v>2726084.3343333332</v>
      </c>
      <c r="AG94" s="30">
        <f t="shared" si="115"/>
        <v>4906747.0097279996</v>
      </c>
      <c r="AH94" s="30">
        <f t="shared" si="116"/>
        <v>3526338.783644917</v>
      </c>
      <c r="AI94" s="30">
        <f t="shared" si="128"/>
        <v>3271301.2011999995</v>
      </c>
      <c r="AJ94" s="31">
        <f t="shared" si="106"/>
        <v>1815683.9229659354</v>
      </c>
      <c r="AK94" s="31">
        <f t="shared" si="107"/>
        <v>263041.27846775297</v>
      </c>
      <c r="AL94" s="30">
        <f t="shared" si="108"/>
        <v>1375308.6882548234</v>
      </c>
      <c r="AM94" s="31">
        <f t="shared" si="109"/>
        <v>256612.66609333106</v>
      </c>
      <c r="AN94" s="31">
        <f t="shared" si="110"/>
        <v>256612.66609333106</v>
      </c>
      <c r="AO94" s="30">
        <f t="shared" si="111"/>
        <v>472307.49602726311</v>
      </c>
      <c r="AP94" s="30">
        <v>0</v>
      </c>
      <c r="AQ94" s="32">
        <f t="shared" si="129"/>
        <v>16143953.712475352</v>
      </c>
      <c r="AR94" s="31">
        <f t="shared" si="112"/>
        <v>170610.13637352391</v>
      </c>
      <c r="AS94" s="31">
        <f t="shared" si="113"/>
        <v>160916.45492920632</v>
      </c>
      <c r="AT94" s="31">
        <f t="shared" si="130"/>
        <v>331526.59130273026</v>
      </c>
      <c r="AU94" s="33">
        <f t="shared" si="131"/>
        <v>76503922.958526596</v>
      </c>
    </row>
    <row r="95" spans="1:47" ht="15" customHeight="1" x14ac:dyDescent="0.2">
      <c r="A95" s="41" t="s">
        <v>89</v>
      </c>
      <c r="B95" s="35">
        <v>19</v>
      </c>
      <c r="C95" s="35">
        <v>1</v>
      </c>
      <c r="D95" s="30">
        <v>1833841.8156000001</v>
      </c>
      <c r="E95" s="30">
        <f t="shared" si="119"/>
        <v>22006101.7872</v>
      </c>
      <c r="F95" s="30">
        <v>0</v>
      </c>
      <c r="G95" s="30">
        <v>0</v>
      </c>
      <c r="H95" s="30">
        <f t="shared" si="100"/>
        <v>816972</v>
      </c>
      <c r="I95" s="30">
        <f t="shared" si="104"/>
        <v>0</v>
      </c>
      <c r="J95" s="30">
        <f t="shared" si="114"/>
        <v>953190.03500645841</v>
      </c>
      <c r="K95" s="30">
        <f t="shared" si="91"/>
        <v>641844.63546000002</v>
      </c>
      <c r="L95" s="30">
        <f t="shared" si="120"/>
        <v>4584604.5390000008</v>
      </c>
      <c r="M95" s="30">
        <f t="shared" ref="M95:M107" si="134">+(E95/12)+J95/12+K95/12+N95/12</f>
        <v>2054248.0767782219</v>
      </c>
      <c r="N95" s="30">
        <f t="shared" si="121"/>
        <v>1049840.4636722049</v>
      </c>
      <c r="O95" s="30"/>
      <c r="P95" s="30">
        <f t="shared" si="105"/>
        <v>32106801.537116889</v>
      </c>
      <c r="Q95" s="30"/>
      <c r="R95" s="30"/>
      <c r="S95" s="30"/>
      <c r="T95" s="30"/>
      <c r="U95" s="30">
        <f t="shared" si="122"/>
        <v>0</v>
      </c>
      <c r="V95" s="30">
        <f t="shared" si="123"/>
        <v>32106801.537116889</v>
      </c>
      <c r="W95" s="30">
        <f t="shared" si="124"/>
        <v>1405945.3919599999</v>
      </c>
      <c r="X95" s="30">
        <v>0</v>
      </c>
      <c r="Y95" s="30">
        <f t="shared" si="133"/>
        <v>122256.12104000001</v>
      </c>
      <c r="Z95" s="30">
        <f t="shared" si="132"/>
        <v>1528201.513</v>
      </c>
      <c r="AA95" s="30"/>
      <c r="AB95" s="30"/>
      <c r="AC95" s="30"/>
      <c r="AD95" s="30"/>
      <c r="AE95" s="30">
        <f t="shared" si="126"/>
        <v>0</v>
      </c>
      <c r="AF95" s="30">
        <f t="shared" si="127"/>
        <v>1528201.513</v>
      </c>
      <c r="AG95" s="30">
        <f t="shared" si="115"/>
        <v>2738768.8544640001</v>
      </c>
      <c r="AH95" s="30">
        <f t="shared" si="116"/>
        <v>1944507.6714131753</v>
      </c>
      <c r="AI95" s="30">
        <f t="shared" si="128"/>
        <v>1833841.8156000001</v>
      </c>
      <c r="AJ95" s="31">
        <f t="shared" si="106"/>
        <v>1017844.8565439855</v>
      </c>
      <c r="AK95" s="31">
        <f t="shared" si="107"/>
        <v>147456.94939558028</v>
      </c>
      <c r="AL95" s="30">
        <f t="shared" si="108"/>
        <v>770977.18209332344</v>
      </c>
      <c r="AM95" s="31">
        <f t="shared" si="109"/>
        <v>143853.16684441257</v>
      </c>
      <c r="AN95" s="31">
        <f t="shared" si="110"/>
        <v>143853.16684441257</v>
      </c>
      <c r="AO95" s="30">
        <f t="shared" si="111"/>
        <v>264768.41561345803</v>
      </c>
      <c r="AP95" s="30">
        <v>0</v>
      </c>
      <c r="AQ95" s="32">
        <f t="shared" si="129"/>
        <v>9005872.0788123477</v>
      </c>
      <c r="AR95" s="31">
        <f t="shared" si="112"/>
        <v>95641.453661380045</v>
      </c>
      <c r="AS95" s="31">
        <f t="shared" si="113"/>
        <v>90207.322932856972</v>
      </c>
      <c r="AT95" s="31">
        <f t="shared" si="130"/>
        <v>185848.77659423702</v>
      </c>
      <c r="AU95" s="33">
        <f t="shared" si="131"/>
        <v>42640875.128929235</v>
      </c>
    </row>
    <row r="96" spans="1:47" ht="15" customHeight="1" x14ac:dyDescent="0.2">
      <c r="A96" s="41" t="s">
        <v>90</v>
      </c>
      <c r="B96" s="78" t="s">
        <v>110</v>
      </c>
      <c r="C96" s="35">
        <v>9</v>
      </c>
      <c r="D96" s="30">
        <v>1047281.7823</v>
      </c>
      <c r="E96" s="30">
        <f t="shared" si="119"/>
        <v>113106432.4884</v>
      </c>
      <c r="F96" s="30">
        <v>0</v>
      </c>
      <c r="G96" s="30">
        <v>0</v>
      </c>
      <c r="H96" s="30">
        <f t="shared" si="100"/>
        <v>816972</v>
      </c>
      <c r="I96" s="30">
        <f t="shared" si="104"/>
        <v>1277448</v>
      </c>
      <c r="J96" s="30">
        <f t="shared" si="114"/>
        <v>4816399.2981984373</v>
      </c>
      <c r="K96" s="30">
        <f t="shared" si="91"/>
        <v>4712768.0203499999</v>
      </c>
      <c r="L96" s="30">
        <f t="shared" si="120"/>
        <v>23563840.101749998</v>
      </c>
      <c r="M96" s="30">
        <f t="shared" si="134"/>
        <v>10329444.831220346</v>
      </c>
      <c r="N96" s="30">
        <f t="shared" si="121"/>
        <v>1317738.167695703</v>
      </c>
      <c r="O96" s="30"/>
      <c r="P96" s="30">
        <f t="shared" si="105"/>
        <v>159941042.90761447</v>
      </c>
      <c r="Q96" s="30"/>
      <c r="R96" s="30"/>
      <c r="S96" s="30"/>
      <c r="T96" s="30"/>
      <c r="U96" s="30">
        <f t="shared" si="122"/>
        <v>0</v>
      </c>
      <c r="V96" s="30">
        <f t="shared" si="123"/>
        <v>159941042.90761447</v>
      </c>
      <c r="W96" s="30">
        <f t="shared" si="124"/>
        <v>7226244.2978699999</v>
      </c>
      <c r="X96" s="30">
        <v>0</v>
      </c>
      <c r="Y96" s="30">
        <f t="shared" si="133"/>
        <v>628369.06938</v>
      </c>
      <c r="Z96" s="30">
        <f t="shared" si="132"/>
        <v>7854613.3672500001</v>
      </c>
      <c r="AA96" s="30"/>
      <c r="AB96" s="30"/>
      <c r="AC96" s="30"/>
      <c r="AD96" s="30"/>
      <c r="AE96" s="30">
        <f t="shared" si="126"/>
        <v>0</v>
      </c>
      <c r="AF96" s="30">
        <f t="shared" si="127"/>
        <v>7854613.3672500001</v>
      </c>
      <c r="AG96" s="30">
        <f t="shared" si="115"/>
        <v>14455101.658608001</v>
      </c>
      <c r="AH96" s="30">
        <f t="shared" si="116"/>
        <v>9825454.5683248136</v>
      </c>
      <c r="AI96" s="30">
        <f t="shared" si="128"/>
        <v>9425536.0406999998</v>
      </c>
      <c r="AJ96" s="31">
        <f t="shared" si="106"/>
        <v>5231494.5038253255</v>
      </c>
      <c r="AK96" s="31">
        <f t="shared" si="107"/>
        <v>757895.68061789474</v>
      </c>
      <c r="AL96" s="30">
        <f t="shared" si="108"/>
        <v>3962649.9704394387</v>
      </c>
      <c r="AM96" s="31">
        <f t="shared" si="109"/>
        <v>739373.04577015387</v>
      </c>
      <c r="AN96" s="31">
        <f t="shared" si="110"/>
        <v>739373.04577015387</v>
      </c>
      <c r="AO96" s="30">
        <f t="shared" si="111"/>
        <v>1360850.3321139368</v>
      </c>
      <c r="AP96" s="30">
        <v>0</v>
      </c>
      <c r="AQ96" s="32">
        <f t="shared" si="129"/>
        <v>46497728.84616971</v>
      </c>
      <c r="AR96" s="31">
        <f t="shared" si="112"/>
        <v>491575.64234913641</v>
      </c>
      <c r="AS96" s="31">
        <f t="shared" si="113"/>
        <v>463645.42797848664</v>
      </c>
      <c r="AT96" s="31">
        <f t="shared" si="130"/>
        <v>955221.07032762305</v>
      </c>
      <c r="AU96" s="33">
        <f t="shared" si="131"/>
        <v>214293385.12103418</v>
      </c>
    </row>
    <row r="97" spans="1:47" ht="15" customHeight="1" x14ac:dyDescent="0.2">
      <c r="A97" s="41" t="s">
        <v>90</v>
      </c>
      <c r="B97" s="78" t="s">
        <v>112</v>
      </c>
      <c r="C97" s="35">
        <v>13</v>
      </c>
      <c r="D97" s="30">
        <v>1180463</v>
      </c>
      <c r="E97" s="30">
        <f t="shared" si="119"/>
        <v>184152228</v>
      </c>
      <c r="F97" s="30">
        <v>0</v>
      </c>
      <c r="G97" s="30">
        <v>0</v>
      </c>
      <c r="H97" s="30">
        <f t="shared" si="100"/>
        <v>816972</v>
      </c>
      <c r="I97" s="30">
        <f t="shared" si="104"/>
        <v>1277448</v>
      </c>
      <c r="J97" s="30">
        <f t="shared" si="114"/>
        <v>7786919.3940972229</v>
      </c>
      <c r="K97" s="30">
        <f t="shared" si="91"/>
        <v>7673009.5</v>
      </c>
      <c r="L97" s="30">
        <f t="shared" si="120"/>
        <v>38365047.5</v>
      </c>
      <c r="M97" s="30">
        <f t="shared" si="134"/>
        <v>16790892.983494889</v>
      </c>
      <c r="N97" s="30">
        <f t="shared" si="121"/>
        <v>1878558.9078414352</v>
      </c>
      <c r="O97" s="30"/>
      <c r="P97" s="30">
        <f t="shared" si="105"/>
        <v>258741076.28543353</v>
      </c>
      <c r="Q97" s="30"/>
      <c r="R97" s="30"/>
      <c r="S97" s="30"/>
      <c r="T97" s="30"/>
      <c r="U97" s="30">
        <f t="shared" si="122"/>
        <v>0</v>
      </c>
      <c r="V97" s="30">
        <f t="shared" si="123"/>
        <v>258741076.28543353</v>
      </c>
      <c r="W97" s="30">
        <f t="shared" si="124"/>
        <v>11765281.233333334</v>
      </c>
      <c r="X97" s="30">
        <v>0</v>
      </c>
      <c r="Y97" s="30">
        <f t="shared" si="133"/>
        <v>1023067.9333333335</v>
      </c>
      <c r="Z97" s="30">
        <f t="shared" si="132"/>
        <v>12788349.166666668</v>
      </c>
      <c r="AA97" s="30"/>
      <c r="AB97" s="30"/>
      <c r="AC97" s="30"/>
      <c r="AD97" s="30"/>
      <c r="AE97" s="30">
        <f t="shared" si="126"/>
        <v>0</v>
      </c>
      <c r="AF97" s="30">
        <f t="shared" si="127"/>
        <v>12788349.166666668</v>
      </c>
      <c r="AG97" s="30">
        <f t="shared" si="115"/>
        <v>23372743.68</v>
      </c>
      <c r="AH97" s="30">
        <f t="shared" si="116"/>
        <v>15885315.563958336</v>
      </c>
      <c r="AI97" s="30">
        <f t="shared" si="128"/>
        <v>15346019</v>
      </c>
      <c r="AJ97" s="31">
        <f t="shared" si="106"/>
        <v>8517564.8055913355</v>
      </c>
      <c r="AK97" s="31">
        <f t="shared" si="107"/>
        <v>1233954.3835552908</v>
      </c>
      <c r="AL97" s="30">
        <f t="shared" si="108"/>
        <v>6451718.1276617199</v>
      </c>
      <c r="AM97" s="31">
        <f t="shared" si="109"/>
        <v>1203797.0848004939</v>
      </c>
      <c r="AN97" s="31">
        <f t="shared" si="110"/>
        <v>1203797.0848004939</v>
      </c>
      <c r="AO97" s="30">
        <f t="shared" si="111"/>
        <v>2215644.2840598202</v>
      </c>
      <c r="AP97" s="30">
        <v>0</v>
      </c>
      <c r="AQ97" s="32">
        <f t="shared" si="129"/>
        <v>75430554.014427513</v>
      </c>
      <c r="AR97" s="31">
        <f t="shared" si="112"/>
        <v>800350.14611930831</v>
      </c>
      <c r="AS97" s="31">
        <f t="shared" si="113"/>
        <v>754876.06394984131</v>
      </c>
      <c r="AT97" s="31">
        <f t="shared" si="130"/>
        <v>1555226.2100691497</v>
      </c>
      <c r="AU97" s="33">
        <f t="shared" si="131"/>
        <v>346959979.4665277</v>
      </c>
    </row>
    <row r="98" spans="1:47" ht="15" customHeight="1" x14ac:dyDescent="0.2">
      <c r="A98" s="41" t="s">
        <v>90</v>
      </c>
      <c r="B98" s="35">
        <v>11</v>
      </c>
      <c r="C98" s="35">
        <v>8</v>
      </c>
      <c r="D98" s="30">
        <v>1400462</v>
      </c>
      <c r="E98" s="30">
        <f t="shared" si="119"/>
        <v>134444352</v>
      </c>
      <c r="F98" s="30">
        <v>0</v>
      </c>
      <c r="G98" s="30">
        <v>0</v>
      </c>
      <c r="H98" s="30">
        <f t="shared" si="100"/>
        <v>816972</v>
      </c>
      <c r="I98" s="30">
        <f t="shared" si="104"/>
        <v>1277448</v>
      </c>
      <c r="J98" s="30">
        <f t="shared" si="114"/>
        <v>5708566.361111111</v>
      </c>
      <c r="K98" s="30">
        <f t="shared" si="91"/>
        <v>5601848</v>
      </c>
      <c r="L98" s="30">
        <f t="shared" si="120"/>
        <v>28009240</v>
      </c>
      <c r="M98" s="30">
        <f t="shared" si="134"/>
        <v>12283127.657600308</v>
      </c>
      <c r="N98" s="30">
        <f t="shared" si="121"/>
        <v>1642765.5300925926</v>
      </c>
      <c r="O98" s="30"/>
      <c r="P98" s="30">
        <f t="shared" si="105"/>
        <v>189784319.54880401</v>
      </c>
      <c r="Q98" s="30"/>
      <c r="R98" s="30"/>
      <c r="S98" s="30"/>
      <c r="T98" s="30"/>
      <c r="U98" s="30">
        <f t="shared" si="122"/>
        <v>0</v>
      </c>
      <c r="V98" s="30">
        <f t="shared" si="123"/>
        <v>189784319.54880401</v>
      </c>
      <c r="W98" s="30">
        <f t="shared" si="124"/>
        <v>8589500.2666666657</v>
      </c>
      <c r="X98" s="30">
        <v>0</v>
      </c>
      <c r="Y98" s="30">
        <f t="shared" si="133"/>
        <v>746913.06666666665</v>
      </c>
      <c r="Z98" s="30">
        <f t="shared" si="132"/>
        <v>9336413.3333333321</v>
      </c>
      <c r="AA98" s="30"/>
      <c r="AB98" s="30"/>
      <c r="AC98" s="30"/>
      <c r="AD98" s="30"/>
      <c r="AE98" s="30">
        <f t="shared" si="126"/>
        <v>0</v>
      </c>
      <c r="AF98" s="30">
        <f t="shared" si="127"/>
        <v>9336413.3333333321</v>
      </c>
      <c r="AG98" s="30">
        <f t="shared" si="115"/>
        <v>16917615.359999999</v>
      </c>
      <c r="AH98" s="30">
        <f t="shared" si="116"/>
        <v>11645475.376666667</v>
      </c>
      <c r="AI98" s="30">
        <f t="shared" si="128"/>
        <v>11203696</v>
      </c>
      <c r="AJ98" s="31">
        <f t="shared" si="106"/>
        <v>6218434.0278833508</v>
      </c>
      <c r="AK98" s="31">
        <f t="shared" si="107"/>
        <v>900875.32090380439</v>
      </c>
      <c r="AL98" s="30">
        <f t="shared" si="108"/>
        <v>4710217.5867246808</v>
      </c>
      <c r="AM98" s="31">
        <f t="shared" si="109"/>
        <v>878858.32695704047</v>
      </c>
      <c r="AN98" s="31">
        <f t="shared" si="110"/>
        <v>878858.32695704047</v>
      </c>
      <c r="AO98" s="30">
        <f t="shared" si="111"/>
        <v>1617579.4518919776</v>
      </c>
      <c r="AP98" s="30">
        <v>0</v>
      </c>
      <c r="AQ98" s="32">
        <f t="shared" si="129"/>
        <v>54971609.777984567</v>
      </c>
      <c r="AR98" s="31">
        <f t="shared" si="112"/>
        <v>584313.0867149526</v>
      </c>
      <c r="AS98" s="31">
        <f t="shared" si="113"/>
        <v>551113.74084513914</v>
      </c>
      <c r="AT98" s="31">
        <f t="shared" si="130"/>
        <v>1135426.8275600919</v>
      </c>
      <c r="AU98" s="33">
        <f t="shared" si="131"/>
        <v>254092342.66012192</v>
      </c>
    </row>
    <row r="99" spans="1:47" ht="15" customHeight="1" x14ac:dyDescent="0.2">
      <c r="A99" s="41" t="s">
        <v>91</v>
      </c>
      <c r="B99" s="35">
        <v>11</v>
      </c>
      <c r="C99" s="35">
        <v>4</v>
      </c>
      <c r="D99" s="30">
        <v>1400462</v>
      </c>
      <c r="E99" s="30">
        <f t="shared" si="119"/>
        <v>67222176</v>
      </c>
      <c r="F99" s="30">
        <v>0</v>
      </c>
      <c r="G99" s="30">
        <v>0</v>
      </c>
      <c r="H99" s="30">
        <f t="shared" si="100"/>
        <v>816972</v>
      </c>
      <c r="I99" s="30">
        <f t="shared" si="104"/>
        <v>1277448</v>
      </c>
      <c r="J99" s="30">
        <f t="shared" si="114"/>
        <v>2897916.9305555555</v>
      </c>
      <c r="K99" s="30">
        <f t="shared" si="91"/>
        <v>2800924</v>
      </c>
      <c r="L99" s="30">
        <f t="shared" si="120"/>
        <v>14004620</v>
      </c>
      <c r="M99" s="30">
        <f t="shared" si="134"/>
        <v>6174679.2784529319</v>
      </c>
      <c r="N99" s="30">
        <f t="shared" si="121"/>
        <v>1175134.4108796297</v>
      </c>
      <c r="O99" s="30"/>
      <c r="P99" s="30">
        <f t="shared" si="105"/>
        <v>96369870.619888112</v>
      </c>
      <c r="Q99" s="30"/>
      <c r="R99" s="30"/>
      <c r="S99" s="30"/>
      <c r="T99" s="30"/>
      <c r="U99" s="30">
        <f t="shared" si="122"/>
        <v>0</v>
      </c>
      <c r="V99" s="30">
        <f t="shared" si="123"/>
        <v>96369870.619888112</v>
      </c>
      <c r="W99" s="30">
        <f t="shared" si="124"/>
        <v>4294750.1333333328</v>
      </c>
      <c r="X99" s="30">
        <v>0</v>
      </c>
      <c r="Y99" s="30">
        <f t="shared" si="133"/>
        <v>373456.53333333333</v>
      </c>
      <c r="Z99" s="30">
        <f t="shared" si="132"/>
        <v>4668206.666666666</v>
      </c>
      <c r="AA99" s="30"/>
      <c r="AB99" s="30"/>
      <c r="AC99" s="30"/>
      <c r="AD99" s="30"/>
      <c r="AE99" s="30">
        <f t="shared" si="126"/>
        <v>0</v>
      </c>
      <c r="AF99" s="30">
        <f t="shared" si="127"/>
        <v>4668206.666666666</v>
      </c>
      <c r="AG99" s="30">
        <f t="shared" si="115"/>
        <v>8458807.6799999997</v>
      </c>
      <c r="AH99" s="30">
        <f t="shared" si="116"/>
        <v>5911750.5383333331</v>
      </c>
      <c r="AI99" s="30">
        <f t="shared" si="128"/>
        <v>5601848</v>
      </c>
      <c r="AJ99" s="31">
        <f t="shared" si="106"/>
        <v>3109217.0139416754</v>
      </c>
      <c r="AK99" s="31">
        <f t="shared" si="107"/>
        <v>450437.66045190219</v>
      </c>
      <c r="AL99" s="30">
        <f t="shared" si="108"/>
        <v>2355108.7933623404</v>
      </c>
      <c r="AM99" s="31">
        <f t="shared" si="109"/>
        <v>439429.16347852023</v>
      </c>
      <c r="AN99" s="31">
        <f t="shared" si="110"/>
        <v>439429.16347852023</v>
      </c>
      <c r="AO99" s="30">
        <f t="shared" si="111"/>
        <v>808789.72594598879</v>
      </c>
      <c r="AP99" s="30">
        <v>0</v>
      </c>
      <c r="AQ99" s="32">
        <f t="shared" si="129"/>
        <v>27574817.738992285</v>
      </c>
      <c r="AR99" s="31">
        <f t="shared" si="112"/>
        <v>292156.5433574763</v>
      </c>
      <c r="AS99" s="31">
        <f t="shared" si="113"/>
        <v>275556.87042256957</v>
      </c>
      <c r="AT99" s="31">
        <f t="shared" si="130"/>
        <v>567713.41378004593</v>
      </c>
      <c r="AU99" s="33">
        <f t="shared" si="131"/>
        <v>128612895.02554707</v>
      </c>
    </row>
    <row r="100" spans="1:47" ht="15" customHeight="1" x14ac:dyDescent="0.2">
      <c r="A100" s="41" t="s">
        <v>91</v>
      </c>
      <c r="B100" s="35">
        <v>13</v>
      </c>
      <c r="C100" s="35">
        <v>5</v>
      </c>
      <c r="D100" s="30">
        <v>1552338</v>
      </c>
      <c r="E100" s="30">
        <f t="shared" si="119"/>
        <v>93140280</v>
      </c>
      <c r="F100" s="30">
        <v>0</v>
      </c>
      <c r="G100" s="30">
        <v>0</v>
      </c>
      <c r="H100" s="30">
        <f t="shared" si="100"/>
        <v>816972</v>
      </c>
      <c r="I100" s="30">
        <f t="shared" si="104"/>
        <v>1277448</v>
      </c>
      <c r="J100" s="30">
        <f t="shared" si="114"/>
        <v>3981587.65625</v>
      </c>
      <c r="K100" s="30">
        <f t="shared" si="91"/>
        <v>3880845</v>
      </c>
      <c r="L100" s="30">
        <f t="shared" si="120"/>
        <v>19404225</v>
      </c>
      <c r="M100" s="30">
        <f t="shared" si="134"/>
        <v>8536173.698133681</v>
      </c>
      <c r="N100" s="30">
        <f t="shared" si="121"/>
        <v>1431371.7213541667</v>
      </c>
      <c r="O100" s="30"/>
      <c r="P100" s="30">
        <f t="shared" si="105"/>
        <v>132468903.07573785</v>
      </c>
      <c r="Q100" s="30"/>
      <c r="R100" s="30"/>
      <c r="S100" s="30"/>
      <c r="T100" s="30"/>
      <c r="U100" s="30">
        <f t="shared" si="122"/>
        <v>0</v>
      </c>
      <c r="V100" s="30">
        <f t="shared" si="123"/>
        <v>132468903.07573785</v>
      </c>
      <c r="W100" s="30">
        <f t="shared" si="124"/>
        <v>5950629</v>
      </c>
      <c r="X100" s="30">
        <v>0</v>
      </c>
      <c r="Y100" s="30">
        <f t="shared" si="133"/>
        <v>517446</v>
      </c>
      <c r="Z100" s="30">
        <f t="shared" si="132"/>
        <v>6468075</v>
      </c>
      <c r="AA100" s="30"/>
      <c r="AB100" s="30"/>
      <c r="AC100" s="30"/>
      <c r="AD100" s="30"/>
      <c r="AE100" s="30">
        <f t="shared" si="126"/>
        <v>0</v>
      </c>
      <c r="AF100" s="30">
        <f t="shared" si="127"/>
        <v>6468075</v>
      </c>
      <c r="AG100" s="30">
        <f t="shared" si="115"/>
        <v>11667016.799999999</v>
      </c>
      <c r="AH100" s="30">
        <f t="shared" si="116"/>
        <v>8122438.8187500006</v>
      </c>
      <c r="AI100" s="30">
        <f t="shared" si="128"/>
        <v>7761690</v>
      </c>
      <c r="AJ100" s="31">
        <f t="shared" si="106"/>
        <v>4308003.1098560626</v>
      </c>
      <c r="AK100" s="31">
        <f t="shared" si="107"/>
        <v>624107.88096230465</v>
      </c>
      <c r="AL100" s="30">
        <f t="shared" si="108"/>
        <v>3263141.8007687009</v>
      </c>
      <c r="AM100" s="31">
        <f t="shared" si="109"/>
        <v>608854.96069861157</v>
      </c>
      <c r="AN100" s="31">
        <f t="shared" si="110"/>
        <v>608854.96069861157</v>
      </c>
      <c r="AO100" s="30">
        <f t="shared" si="111"/>
        <v>1120625.7520692674</v>
      </c>
      <c r="AP100" s="30">
        <v>0</v>
      </c>
      <c r="AQ100" s="32">
        <f t="shared" si="129"/>
        <v>38084734.083803557</v>
      </c>
      <c r="AR100" s="31">
        <f t="shared" si="112"/>
        <v>404800.08043993521</v>
      </c>
      <c r="AS100" s="31">
        <f t="shared" si="113"/>
        <v>381800.25691346033</v>
      </c>
      <c r="AT100" s="31">
        <f t="shared" si="130"/>
        <v>786600.33735339553</v>
      </c>
      <c r="AU100" s="33">
        <f t="shared" si="131"/>
        <v>177021712.1595414</v>
      </c>
    </row>
    <row r="101" spans="1:47" ht="15" customHeight="1" x14ac:dyDescent="0.2">
      <c r="A101" s="41" t="s">
        <v>92</v>
      </c>
      <c r="B101" s="35">
        <v>26</v>
      </c>
      <c r="C101" s="35">
        <v>1</v>
      </c>
      <c r="D101" s="30">
        <v>3038369</v>
      </c>
      <c r="E101" s="30">
        <f t="shared" si="119"/>
        <v>36460428</v>
      </c>
      <c r="F101" s="30">
        <v>0</v>
      </c>
      <c r="G101" s="30">
        <v>0</v>
      </c>
      <c r="H101" s="30">
        <f t="shared" si="100"/>
        <v>0</v>
      </c>
      <c r="I101" s="30">
        <f t="shared" si="104"/>
        <v>0</v>
      </c>
      <c r="J101" s="30">
        <f t="shared" si="114"/>
        <v>1522876.9623263888</v>
      </c>
      <c r="K101" s="30">
        <f t="shared" si="91"/>
        <v>1063429.1499999999</v>
      </c>
      <c r="L101" s="30">
        <f t="shared" si="120"/>
        <v>7595922.5</v>
      </c>
      <c r="M101" s="30">
        <f t="shared" si="134"/>
        <v>3398453.6768072434</v>
      </c>
      <c r="N101" s="30">
        <f t="shared" si="121"/>
        <v>1734710.0093605323</v>
      </c>
      <c r="O101" s="30"/>
      <c r="P101" s="30">
        <f t="shared" si="105"/>
        <v>51775820.298494168</v>
      </c>
      <c r="Q101" s="30"/>
      <c r="R101" s="30"/>
      <c r="S101" s="30"/>
      <c r="T101" s="30"/>
      <c r="U101" s="30">
        <f t="shared" si="122"/>
        <v>0</v>
      </c>
      <c r="V101" s="30">
        <f t="shared" si="123"/>
        <v>51775820.298494168</v>
      </c>
      <c r="W101" s="30">
        <f t="shared" si="124"/>
        <v>2329416.2333333334</v>
      </c>
      <c r="X101" s="30">
        <v>0</v>
      </c>
      <c r="Y101" s="30">
        <f t="shared" si="133"/>
        <v>202557.93333333332</v>
      </c>
      <c r="Z101" s="30">
        <f t="shared" si="132"/>
        <v>2531974.1666666665</v>
      </c>
      <c r="AA101" s="30"/>
      <c r="AB101" s="30"/>
      <c r="AC101" s="30"/>
      <c r="AD101" s="30"/>
      <c r="AE101" s="30">
        <f t="shared" si="126"/>
        <v>0</v>
      </c>
      <c r="AF101" s="30">
        <f t="shared" si="127"/>
        <v>2531974.1666666665</v>
      </c>
      <c r="AG101" s="30">
        <f t="shared" si="115"/>
        <v>4375251.3599999994</v>
      </c>
      <c r="AH101" s="30">
        <f t="shared" si="116"/>
        <v>3106669.0031458335</v>
      </c>
      <c r="AI101" s="30">
        <f t="shared" si="128"/>
        <v>3038369</v>
      </c>
      <c r="AJ101" s="31">
        <f t="shared" si="106"/>
        <v>1686398.5937199569</v>
      </c>
      <c r="AK101" s="31">
        <f t="shared" si="107"/>
        <v>244311.4886283215</v>
      </c>
      <c r="AL101" s="30">
        <f t="shared" si="108"/>
        <v>1277380.1697903157</v>
      </c>
      <c r="AM101" s="31">
        <f t="shared" si="109"/>
        <v>238340.62402426271</v>
      </c>
      <c r="AN101" s="31">
        <f t="shared" si="110"/>
        <v>238340.62402426271</v>
      </c>
      <c r="AO101" s="30">
        <f t="shared" si="111"/>
        <v>438676.95639595855</v>
      </c>
      <c r="AP101" s="30">
        <v>0</v>
      </c>
      <c r="AQ101" s="32">
        <f t="shared" si="129"/>
        <v>14643737.819728911</v>
      </c>
      <c r="AR101" s="31">
        <f t="shared" si="112"/>
        <v>158461.88337929055</v>
      </c>
      <c r="AS101" s="31">
        <f t="shared" si="113"/>
        <v>149458.43814915227</v>
      </c>
      <c r="AT101" s="31">
        <f t="shared" si="130"/>
        <v>307920.32152844279</v>
      </c>
      <c r="AU101" s="33">
        <f t="shared" si="131"/>
        <v>68951532.284889743</v>
      </c>
    </row>
    <row r="102" spans="1:47" ht="15" customHeight="1" x14ac:dyDescent="0.2">
      <c r="A102" s="41" t="s">
        <v>93</v>
      </c>
      <c r="B102" s="35">
        <v>16</v>
      </c>
      <c r="C102" s="35">
        <v>4</v>
      </c>
      <c r="D102" s="30">
        <v>1708377</v>
      </c>
      <c r="E102" s="30">
        <f t="shared" si="119"/>
        <v>82002096</v>
      </c>
      <c r="F102" s="30">
        <v>0</v>
      </c>
      <c r="G102" s="30">
        <v>0</v>
      </c>
      <c r="H102" s="30">
        <f t="shared" si="100"/>
        <v>816972</v>
      </c>
      <c r="I102" s="30">
        <f t="shared" si="104"/>
        <v>1277448</v>
      </c>
      <c r="J102" s="30">
        <f t="shared" si="114"/>
        <v>3512326.1104166671</v>
      </c>
      <c r="K102" s="30">
        <f t="shared" si="91"/>
        <v>2391727.7999999998</v>
      </c>
      <c r="L102" s="30">
        <f t="shared" si="120"/>
        <v>17083770</v>
      </c>
      <c r="M102" s="30">
        <f t="shared" si="134"/>
        <v>7437695.2419126155</v>
      </c>
      <c r="N102" s="30">
        <f t="shared" si="121"/>
        <v>1346192.9925347222</v>
      </c>
      <c r="O102" s="30"/>
      <c r="P102" s="30">
        <f t="shared" si="105"/>
        <v>115868228.14486401</v>
      </c>
      <c r="Q102" s="30"/>
      <c r="R102" s="30"/>
      <c r="S102" s="30"/>
      <c r="T102" s="30"/>
      <c r="U102" s="30">
        <f t="shared" si="122"/>
        <v>0</v>
      </c>
      <c r="V102" s="30">
        <f t="shared" si="123"/>
        <v>115868228.14486401</v>
      </c>
      <c r="W102" s="30">
        <f t="shared" si="124"/>
        <v>5239022.8</v>
      </c>
      <c r="X102" s="30">
        <v>0</v>
      </c>
      <c r="Y102" s="30">
        <f t="shared" si="133"/>
        <v>455567.2</v>
      </c>
      <c r="Z102" s="30">
        <f t="shared" si="132"/>
        <v>5694590</v>
      </c>
      <c r="AA102" s="30"/>
      <c r="AB102" s="30"/>
      <c r="AC102" s="30"/>
      <c r="AD102" s="30"/>
      <c r="AE102" s="30">
        <f t="shared" si="126"/>
        <v>0</v>
      </c>
      <c r="AF102" s="30">
        <f t="shared" si="127"/>
        <v>5694590</v>
      </c>
      <c r="AG102" s="30">
        <f t="shared" si="115"/>
        <v>10232398.08</v>
      </c>
      <c r="AH102" s="30">
        <f t="shared" si="116"/>
        <v>7165145.2652500011</v>
      </c>
      <c r="AI102" s="30">
        <f t="shared" si="128"/>
        <v>6833508</v>
      </c>
      <c r="AJ102" s="31">
        <f t="shared" si="106"/>
        <v>3792830.3907043803</v>
      </c>
      <c r="AK102" s="31">
        <f t="shared" si="107"/>
        <v>549473.91578624712</v>
      </c>
      <c r="AL102" s="30">
        <f t="shared" si="108"/>
        <v>2872918.861831292</v>
      </c>
      <c r="AM102" s="31">
        <f t="shared" si="109"/>
        <v>536045.01658448717</v>
      </c>
      <c r="AN102" s="31">
        <f t="shared" si="110"/>
        <v>536045.01658448717</v>
      </c>
      <c r="AO102" s="30">
        <f t="shared" si="111"/>
        <v>986615.67799942475</v>
      </c>
      <c r="AP102" s="30">
        <v>0</v>
      </c>
      <c r="AQ102" s="32">
        <f t="shared" si="129"/>
        <v>33504980.224740319</v>
      </c>
      <c r="AR102" s="31">
        <f t="shared" si="112"/>
        <v>356392.04710403807</v>
      </c>
      <c r="AS102" s="31">
        <f t="shared" si="113"/>
        <v>336142.65836695186</v>
      </c>
      <c r="AT102" s="31">
        <f t="shared" si="130"/>
        <v>692534.70547098992</v>
      </c>
      <c r="AU102" s="33">
        <f t="shared" si="131"/>
        <v>155067798.36960432</v>
      </c>
    </row>
    <row r="103" spans="1:47" ht="15" customHeight="1" x14ac:dyDescent="0.2">
      <c r="A103" s="41" t="s">
        <v>93</v>
      </c>
      <c r="B103" s="35">
        <v>18</v>
      </c>
      <c r="C103" s="35">
        <v>14</v>
      </c>
      <c r="D103" s="30">
        <v>1787726.8293999999</v>
      </c>
      <c r="E103" s="30">
        <f t="shared" si="119"/>
        <v>300338107.33920002</v>
      </c>
      <c r="F103" s="30">
        <v>0</v>
      </c>
      <c r="G103" s="30">
        <v>0</v>
      </c>
      <c r="H103" s="30">
        <f t="shared" si="100"/>
        <v>816972</v>
      </c>
      <c r="I103" s="30">
        <f t="shared" si="104"/>
        <v>1277448</v>
      </c>
      <c r="J103" s="30">
        <f t="shared" si="114"/>
        <v>12631771.491439098</v>
      </c>
      <c r="K103" s="30">
        <f t="shared" si="91"/>
        <v>8759861.4640599992</v>
      </c>
      <c r="L103" s="30">
        <f t="shared" si="120"/>
        <v>62570439.028999999</v>
      </c>
      <c r="M103" s="30">
        <f t="shared" si="134"/>
        <v>27033853.315752003</v>
      </c>
      <c r="N103" s="30">
        <f t="shared" si="121"/>
        <v>2676499.4943249249</v>
      </c>
      <c r="O103" s="30"/>
      <c r="P103" s="30">
        <f t="shared" si="105"/>
        <v>416104952.13377607</v>
      </c>
      <c r="Q103" s="30"/>
      <c r="R103" s="30"/>
      <c r="S103" s="30"/>
      <c r="T103" s="30"/>
      <c r="U103" s="30">
        <f t="shared" si="122"/>
        <v>0</v>
      </c>
      <c r="V103" s="30">
        <f t="shared" si="123"/>
        <v>416104952.13377607</v>
      </c>
      <c r="W103" s="30">
        <f t="shared" si="124"/>
        <v>19188267.968893334</v>
      </c>
      <c r="X103" s="30">
        <v>0</v>
      </c>
      <c r="Y103" s="30">
        <f t="shared" si="133"/>
        <v>1668545.0407733333</v>
      </c>
      <c r="Z103" s="30">
        <f t="shared" si="132"/>
        <v>20856813.009666666</v>
      </c>
      <c r="AA103" s="30"/>
      <c r="AB103" s="30"/>
      <c r="AC103" s="30"/>
      <c r="AD103" s="30"/>
      <c r="AE103" s="30">
        <f t="shared" si="126"/>
        <v>0</v>
      </c>
      <c r="AF103" s="30">
        <f t="shared" si="127"/>
        <v>20856813.009666666</v>
      </c>
      <c r="AG103" s="30">
        <f t="shared" si="115"/>
        <v>37413085.840704001</v>
      </c>
      <c r="AH103" s="30">
        <f t="shared" si="116"/>
        <v>25768813.842535764</v>
      </c>
      <c r="AI103" s="30">
        <f t="shared" si="128"/>
        <v>25028175.6116</v>
      </c>
      <c r="AJ103" s="31">
        <f t="shared" si="106"/>
        <v>13891492.493103493</v>
      </c>
      <c r="AK103" s="31">
        <f t="shared" si="107"/>
        <v>2012484.6064849417</v>
      </c>
      <c r="AL103" s="30">
        <f t="shared" si="108"/>
        <v>10522255.595777685</v>
      </c>
      <c r="AM103" s="31">
        <f t="shared" si="109"/>
        <v>1963300.3738050172</v>
      </c>
      <c r="AN103" s="31">
        <f t="shared" si="110"/>
        <v>1963300.3738050172</v>
      </c>
      <c r="AO103" s="30">
        <f t="shared" si="111"/>
        <v>3613545.2611056282</v>
      </c>
      <c r="AP103" s="30">
        <v>0</v>
      </c>
      <c r="AQ103" s="32">
        <f t="shared" si="129"/>
        <v>122176453.99892154</v>
      </c>
      <c r="AR103" s="31">
        <f t="shared" si="112"/>
        <v>1305309.4752354843</v>
      </c>
      <c r="AS103" s="31">
        <f t="shared" si="113"/>
        <v>1231144.7479329994</v>
      </c>
      <c r="AT103" s="31">
        <f t="shared" si="130"/>
        <v>2536454.2231684839</v>
      </c>
      <c r="AU103" s="33">
        <f t="shared" si="131"/>
        <v>559138219.14236426</v>
      </c>
    </row>
    <row r="104" spans="1:47" ht="15" customHeight="1" x14ac:dyDescent="0.2">
      <c r="A104" s="41" t="s">
        <v>93</v>
      </c>
      <c r="B104" s="35">
        <v>19</v>
      </c>
      <c r="C104" s="35">
        <v>1</v>
      </c>
      <c r="D104" s="30">
        <v>1833841.8156000001</v>
      </c>
      <c r="E104" s="30">
        <f t="shared" si="119"/>
        <v>22006101.7872</v>
      </c>
      <c r="F104" s="30">
        <v>0</v>
      </c>
      <c r="G104" s="30">
        <v>0</v>
      </c>
      <c r="H104" s="30">
        <f t="shared" si="100"/>
        <v>816972</v>
      </c>
      <c r="I104" s="30">
        <f t="shared" si="104"/>
        <v>0</v>
      </c>
      <c r="J104" s="30">
        <f t="shared" si="114"/>
        <v>953190.03500645841</v>
      </c>
      <c r="K104" s="30">
        <f t="shared" si="91"/>
        <v>641844.63546000002</v>
      </c>
      <c r="L104" s="30">
        <f t="shared" si="120"/>
        <v>4584604.5390000008</v>
      </c>
      <c r="M104" s="30">
        <f t="shared" si="134"/>
        <v>2054248.0767782219</v>
      </c>
      <c r="N104" s="30">
        <f t="shared" si="121"/>
        <v>1049840.4636722049</v>
      </c>
      <c r="O104" s="30"/>
      <c r="P104" s="30">
        <f t="shared" si="105"/>
        <v>32106801.537116889</v>
      </c>
      <c r="Q104" s="30"/>
      <c r="R104" s="30"/>
      <c r="S104" s="30"/>
      <c r="T104" s="30"/>
      <c r="U104" s="30">
        <f t="shared" si="122"/>
        <v>0</v>
      </c>
      <c r="V104" s="30">
        <f t="shared" si="123"/>
        <v>32106801.537116889</v>
      </c>
      <c r="W104" s="30">
        <f t="shared" si="124"/>
        <v>1405945.3919599999</v>
      </c>
      <c r="X104" s="30">
        <v>0</v>
      </c>
      <c r="Y104" s="30">
        <f t="shared" si="133"/>
        <v>122256.12104000001</v>
      </c>
      <c r="Z104" s="30">
        <f t="shared" si="132"/>
        <v>1528201.513</v>
      </c>
      <c r="AA104" s="30"/>
      <c r="AB104" s="30"/>
      <c r="AC104" s="30"/>
      <c r="AD104" s="30"/>
      <c r="AE104" s="30">
        <f t="shared" si="126"/>
        <v>0</v>
      </c>
      <c r="AF104" s="30">
        <f t="shared" si="127"/>
        <v>1528201.513</v>
      </c>
      <c r="AG104" s="30">
        <f t="shared" si="115"/>
        <v>2738768.8544640001</v>
      </c>
      <c r="AH104" s="30">
        <f t="shared" si="116"/>
        <v>1944507.6714131753</v>
      </c>
      <c r="AI104" s="30">
        <f t="shared" si="128"/>
        <v>1833841.8156000001</v>
      </c>
      <c r="AJ104" s="31">
        <f t="shared" si="106"/>
        <v>1017844.8565439855</v>
      </c>
      <c r="AK104" s="31">
        <f t="shared" si="107"/>
        <v>147456.94939558028</v>
      </c>
      <c r="AL104" s="30">
        <f t="shared" si="108"/>
        <v>770977.18209332344</v>
      </c>
      <c r="AM104" s="31">
        <f t="shared" si="109"/>
        <v>143853.16684441257</v>
      </c>
      <c r="AN104" s="31">
        <f t="shared" si="110"/>
        <v>143853.16684441257</v>
      </c>
      <c r="AO104" s="30">
        <f t="shared" si="111"/>
        <v>264768.41561345803</v>
      </c>
      <c r="AP104" s="30">
        <v>0</v>
      </c>
      <c r="AQ104" s="32">
        <f t="shared" si="129"/>
        <v>9005872.0788123477</v>
      </c>
      <c r="AR104" s="31">
        <f t="shared" si="112"/>
        <v>95641.453661380045</v>
      </c>
      <c r="AS104" s="31">
        <f t="shared" si="113"/>
        <v>90207.322932856972</v>
      </c>
      <c r="AT104" s="31">
        <f t="shared" si="130"/>
        <v>185848.77659423702</v>
      </c>
      <c r="AU104" s="33">
        <f t="shared" si="131"/>
        <v>42640875.128929235</v>
      </c>
    </row>
    <row r="105" spans="1:47" ht="15" customHeight="1" x14ac:dyDescent="0.2">
      <c r="A105" s="41" t="s">
        <v>93</v>
      </c>
      <c r="B105" s="35">
        <v>20</v>
      </c>
      <c r="C105" s="35">
        <v>15</v>
      </c>
      <c r="D105" s="30">
        <v>1890818</v>
      </c>
      <c r="E105" s="30">
        <f t="shared" si="119"/>
        <v>340347240</v>
      </c>
      <c r="F105" s="30">
        <v>0</v>
      </c>
      <c r="G105" s="30">
        <v>0</v>
      </c>
      <c r="H105" s="30">
        <f t="shared" si="100"/>
        <v>0</v>
      </c>
      <c r="I105" s="30">
        <f t="shared" si="104"/>
        <v>0</v>
      </c>
      <c r="J105" s="30">
        <f t="shared" si="114"/>
        <v>14215603.036458334</v>
      </c>
      <c r="K105" s="30">
        <f t="shared" si="91"/>
        <v>9926794.4999999981</v>
      </c>
      <c r="L105" s="30">
        <v>0</v>
      </c>
      <c r="M105" s="30">
        <f t="shared" si="134"/>
        <v>30620576.083152488</v>
      </c>
      <c r="N105" s="30">
        <f t="shared" si="121"/>
        <v>2957275.461371528</v>
      </c>
      <c r="O105" s="30"/>
      <c r="P105" s="30">
        <f t="shared" si="105"/>
        <v>398067489.08098233</v>
      </c>
      <c r="Q105" s="30"/>
      <c r="R105" s="30"/>
      <c r="S105" s="30"/>
      <c r="T105" s="30"/>
      <c r="U105" s="30">
        <f t="shared" si="122"/>
        <v>0</v>
      </c>
      <c r="V105" s="30">
        <f t="shared" si="123"/>
        <v>398067489.08098233</v>
      </c>
      <c r="W105" s="30">
        <f t="shared" si="124"/>
        <v>21744407</v>
      </c>
      <c r="X105" s="30">
        <v>0</v>
      </c>
      <c r="Y105" s="30">
        <f t="shared" si="133"/>
        <v>1890818</v>
      </c>
      <c r="Z105" s="30">
        <f t="shared" si="132"/>
        <v>23635225</v>
      </c>
      <c r="AA105" s="30"/>
      <c r="AB105" s="30"/>
      <c r="AC105" s="30"/>
      <c r="AD105" s="30"/>
      <c r="AE105" s="30">
        <f t="shared" si="126"/>
        <v>0</v>
      </c>
      <c r="AF105" s="30">
        <f t="shared" si="127"/>
        <v>23635225</v>
      </c>
      <c r="AG105" s="30">
        <f t="shared" si="115"/>
        <v>40841668.799999997</v>
      </c>
      <c r="AH105" s="30">
        <f t="shared" si="116"/>
        <v>28999830.194375001</v>
      </c>
      <c r="AI105" s="30">
        <f t="shared" si="128"/>
        <v>28362270</v>
      </c>
      <c r="AJ105" s="31">
        <f t="shared" si="106"/>
        <v>15742028.780146759</v>
      </c>
      <c r="AK105" s="31">
        <f t="shared" si="107"/>
        <v>2280575.0073734904</v>
      </c>
      <c r="AL105" s="30">
        <f t="shared" si="108"/>
        <v>11923963.57000706</v>
      </c>
      <c r="AM105" s="31">
        <f t="shared" si="109"/>
        <v>2224838.7640028666</v>
      </c>
      <c r="AN105" s="31">
        <f t="shared" si="110"/>
        <v>2224838.7640028666</v>
      </c>
      <c r="AO105" s="30">
        <f t="shared" si="111"/>
        <v>4094918.7804642571</v>
      </c>
      <c r="AP105" s="30">
        <v>0</v>
      </c>
      <c r="AQ105" s="32">
        <f t="shared" si="129"/>
        <v>136694932.66037229</v>
      </c>
      <c r="AR105" s="31">
        <f t="shared" si="112"/>
        <v>1479194.5024162473</v>
      </c>
      <c r="AS105" s="31">
        <f t="shared" si="113"/>
        <v>1395150.0217927964</v>
      </c>
      <c r="AT105" s="31">
        <f t="shared" si="130"/>
        <v>2874344.5242090439</v>
      </c>
      <c r="AU105" s="33">
        <f t="shared" si="131"/>
        <v>558397646.74135458</v>
      </c>
    </row>
    <row r="106" spans="1:47" ht="15" customHeight="1" x14ac:dyDescent="0.2">
      <c r="A106" s="41" t="s">
        <v>93</v>
      </c>
      <c r="B106" s="35">
        <v>24</v>
      </c>
      <c r="C106" s="35">
        <v>1</v>
      </c>
      <c r="D106" s="30">
        <v>2518223.8369999998</v>
      </c>
      <c r="E106" s="30">
        <f t="shared" si="119"/>
        <v>30218686.044</v>
      </c>
      <c r="F106" s="30">
        <v>0</v>
      </c>
      <c r="G106" s="30">
        <v>0</v>
      </c>
      <c r="H106" s="30">
        <f t="shared" si="100"/>
        <v>0</v>
      </c>
      <c r="I106" s="30">
        <f t="shared" si="104"/>
        <v>0</v>
      </c>
      <c r="J106" s="30">
        <f t="shared" si="114"/>
        <v>1262172.2599685763</v>
      </c>
      <c r="K106" s="30">
        <f t="shared" si="91"/>
        <v>881378.34294999985</v>
      </c>
      <c r="L106" s="30">
        <v>0</v>
      </c>
      <c r="M106" s="30">
        <f t="shared" si="134"/>
        <v>2816664.8151940377</v>
      </c>
      <c r="N106" s="30">
        <f t="shared" si="121"/>
        <v>1437741.1354098814</v>
      </c>
      <c r="O106" s="30"/>
      <c r="P106" s="30">
        <f t="shared" si="105"/>
        <v>36616642.597522497</v>
      </c>
      <c r="Q106" s="30"/>
      <c r="R106" s="30"/>
      <c r="S106" s="30"/>
      <c r="T106" s="30"/>
      <c r="U106" s="30">
        <f t="shared" si="122"/>
        <v>0</v>
      </c>
      <c r="V106" s="30">
        <f t="shared" si="123"/>
        <v>36616642.597522497</v>
      </c>
      <c r="W106" s="30">
        <f t="shared" si="124"/>
        <v>1930638.2750333333</v>
      </c>
      <c r="X106" s="30">
        <v>0</v>
      </c>
      <c r="Y106" s="30">
        <f t="shared" si="133"/>
        <v>167881.58913333333</v>
      </c>
      <c r="Z106" s="30">
        <f t="shared" si="132"/>
        <v>2098519.8641666668</v>
      </c>
      <c r="AA106" s="30"/>
      <c r="AB106" s="30"/>
      <c r="AC106" s="30"/>
      <c r="AD106" s="30"/>
      <c r="AE106" s="30">
        <f t="shared" si="126"/>
        <v>0</v>
      </c>
      <c r="AF106" s="30">
        <f t="shared" si="127"/>
        <v>2098519.8641666668</v>
      </c>
      <c r="AG106" s="30">
        <f t="shared" si="115"/>
        <v>3626242.3252799995</v>
      </c>
      <c r="AH106" s="30">
        <f t="shared" si="116"/>
        <v>2574831.4103358961</v>
      </c>
      <c r="AI106" s="30">
        <f t="shared" si="128"/>
        <v>2518223.8369999998</v>
      </c>
      <c r="AJ106" s="31">
        <f t="shared" si="106"/>
        <v>1397700.2587206736</v>
      </c>
      <c r="AK106" s="31">
        <f t="shared" si="107"/>
        <v>202487.26020993287</v>
      </c>
      <c r="AL106" s="30">
        <f t="shared" si="108"/>
        <v>1058702.6106694348</v>
      </c>
      <c r="AM106" s="31">
        <f t="shared" si="109"/>
        <v>197538.56122918357</v>
      </c>
      <c r="AN106" s="31">
        <f t="shared" si="110"/>
        <v>197538.56122918357</v>
      </c>
      <c r="AO106" s="30">
        <f t="shared" si="111"/>
        <v>363578.87022244913</v>
      </c>
      <c r="AP106" s="30">
        <v>0</v>
      </c>
      <c r="AQ106" s="32">
        <f t="shared" si="129"/>
        <v>12136843.694896754</v>
      </c>
      <c r="AR106" s="31">
        <f t="shared" si="112"/>
        <v>131334.44028083608</v>
      </c>
      <c r="AS106" s="31">
        <f t="shared" si="113"/>
        <v>123872.31491237087</v>
      </c>
      <c r="AT106" s="31">
        <f t="shared" si="130"/>
        <v>255206.75519320695</v>
      </c>
      <c r="AU106" s="33">
        <f t="shared" si="131"/>
        <v>50852006.156585917</v>
      </c>
    </row>
    <row r="107" spans="1:47" ht="15" customHeight="1" thickBot="1" x14ac:dyDescent="0.25">
      <c r="A107" s="41" t="s">
        <v>94</v>
      </c>
      <c r="B107" s="35">
        <v>25</v>
      </c>
      <c r="C107" s="35">
        <v>1</v>
      </c>
      <c r="D107" s="30">
        <v>2792943.6422000001</v>
      </c>
      <c r="E107" s="30">
        <f t="shared" si="119"/>
        <v>33515323.7064</v>
      </c>
      <c r="F107" s="30">
        <v>0</v>
      </c>
      <c r="G107" s="30">
        <v>0</v>
      </c>
      <c r="H107" s="30">
        <f t="shared" si="100"/>
        <v>0</v>
      </c>
      <c r="I107" s="30">
        <f t="shared" si="104"/>
        <v>0</v>
      </c>
      <c r="J107" s="30">
        <f t="shared" si="114"/>
        <v>1399866.0234429513</v>
      </c>
      <c r="K107" s="30">
        <f t="shared" si="91"/>
        <v>977530.27477000002</v>
      </c>
      <c r="L107" s="30">
        <v>0</v>
      </c>
      <c r="M107" s="30">
        <f t="shared" si="134"/>
        <v>3123942.3486581137</v>
      </c>
      <c r="N107" s="30">
        <f t="shared" si="121"/>
        <v>1594588.1792844126</v>
      </c>
      <c r="O107" s="30"/>
      <c r="P107" s="30">
        <f t="shared" si="105"/>
        <v>40611250.532555483</v>
      </c>
      <c r="Q107" s="30"/>
      <c r="R107" s="30"/>
      <c r="S107" s="30"/>
      <c r="T107" s="30"/>
      <c r="U107" s="30">
        <f t="shared" si="122"/>
        <v>0</v>
      </c>
      <c r="V107" s="30">
        <f t="shared" si="123"/>
        <v>40611250.532555483</v>
      </c>
      <c r="W107" s="30">
        <f t="shared" si="124"/>
        <v>2141256.7923533334</v>
      </c>
      <c r="X107" s="30">
        <v>0</v>
      </c>
      <c r="Y107" s="30">
        <f t="shared" si="133"/>
        <v>186196.24281333335</v>
      </c>
      <c r="Z107" s="30">
        <f t="shared" si="132"/>
        <v>2327453.0351666668</v>
      </c>
      <c r="AA107" s="30"/>
      <c r="AB107" s="30"/>
      <c r="AC107" s="30"/>
      <c r="AD107" s="30"/>
      <c r="AE107" s="30">
        <f t="shared" si="126"/>
        <v>0</v>
      </c>
      <c r="AF107" s="30">
        <f t="shared" si="127"/>
        <v>2327453.0351666668</v>
      </c>
      <c r="AG107" s="30">
        <f t="shared" si="115"/>
        <v>4021838.8447679998</v>
      </c>
      <c r="AH107" s="30">
        <f t="shared" si="116"/>
        <v>2855726.6878236211</v>
      </c>
      <c r="AI107" s="30">
        <f t="shared" si="128"/>
        <v>2792943.6422000001</v>
      </c>
      <c r="AJ107" s="31">
        <f t="shared" si="106"/>
        <v>1550179.1357617113</v>
      </c>
      <c r="AK107" s="31">
        <f t="shared" si="107"/>
        <v>224577.13953798509</v>
      </c>
      <c r="AL107" s="30">
        <f t="shared" si="108"/>
        <v>1174199.3233501986</v>
      </c>
      <c r="AM107" s="31">
        <f t="shared" si="109"/>
        <v>219088.57368757552</v>
      </c>
      <c r="AN107" s="31">
        <f t="shared" si="110"/>
        <v>219088.57368757552</v>
      </c>
      <c r="AO107" s="30">
        <f t="shared" si="111"/>
        <v>403242.66616258241</v>
      </c>
      <c r="AP107" s="30">
        <v>0</v>
      </c>
      <c r="AQ107" s="32">
        <f t="shared" si="129"/>
        <v>13460884.586979249</v>
      </c>
      <c r="AR107" s="31">
        <f t="shared" si="112"/>
        <v>145662.06728518737</v>
      </c>
      <c r="AS107" s="31">
        <f t="shared" si="113"/>
        <v>137385.87860849578</v>
      </c>
      <c r="AT107" s="31">
        <f t="shared" si="130"/>
        <v>283047.94589368312</v>
      </c>
      <c r="AU107" s="33">
        <f t="shared" si="131"/>
        <v>56399588.154701397</v>
      </c>
    </row>
    <row r="108" spans="1:47" ht="15" customHeight="1" thickTop="1" thickBot="1" x14ac:dyDescent="0.25">
      <c r="A108" s="43" t="s">
        <v>95</v>
      </c>
      <c r="B108" s="44"/>
      <c r="C108" s="45">
        <f t="shared" ref="C108:AT108" si="135">+C84+C52+C29+C24+C15</f>
        <v>1371</v>
      </c>
      <c r="D108" s="75">
        <f>+D84+D52+D29+D24+D15</f>
        <v>258678767.2572</v>
      </c>
      <c r="E108" s="75">
        <f t="shared" si="135"/>
        <v>58302013659.283195</v>
      </c>
      <c r="F108" s="75">
        <f t="shared" si="135"/>
        <v>193965252</v>
      </c>
      <c r="G108" s="75">
        <f t="shared" si="135"/>
        <v>1942679516.6202002</v>
      </c>
      <c r="H108" s="75">
        <f t="shared" si="135"/>
        <v>28594020</v>
      </c>
      <c r="I108" s="75">
        <f t="shared" si="135"/>
        <v>37045992</v>
      </c>
      <c r="J108" s="75">
        <f t="shared" si="135"/>
        <v>2456269621.1472397</v>
      </c>
      <c r="K108" s="75">
        <f t="shared" si="135"/>
        <v>2286975468.4457421</v>
      </c>
      <c r="L108" s="75">
        <f t="shared" si="135"/>
        <v>629029258.61574996</v>
      </c>
      <c r="M108" s="75">
        <f t="shared" si="135"/>
        <v>6002895193.3975544</v>
      </c>
      <c r="N108" s="75">
        <f t="shared" si="135"/>
        <v>4770297635.4017305</v>
      </c>
      <c r="O108" s="75">
        <f t="shared" si="135"/>
        <v>0</v>
      </c>
      <c r="P108" s="75">
        <f t="shared" si="135"/>
        <v>76649765616.911423</v>
      </c>
      <c r="Q108" s="75">
        <f t="shared" si="135"/>
        <v>0</v>
      </c>
      <c r="R108" s="75">
        <f t="shared" si="135"/>
        <v>0</v>
      </c>
      <c r="S108" s="75">
        <f t="shared" si="135"/>
        <v>0</v>
      </c>
      <c r="T108" s="75">
        <f t="shared" si="135"/>
        <v>0</v>
      </c>
      <c r="U108" s="75">
        <f t="shared" si="135"/>
        <v>0</v>
      </c>
      <c r="V108" s="75">
        <f t="shared" si="135"/>
        <v>76649765616.911423</v>
      </c>
      <c r="W108" s="75">
        <f t="shared" si="135"/>
        <v>5334951451.9271936</v>
      </c>
      <c r="X108" s="75">
        <f t="shared" si="135"/>
        <v>103000000</v>
      </c>
      <c r="Y108" s="75">
        <f t="shared" si="135"/>
        <v>325720724.12178671</v>
      </c>
      <c r="Z108" s="75">
        <f t="shared" si="135"/>
        <v>5763672176.0489807</v>
      </c>
      <c r="AA108" s="75">
        <f t="shared" si="135"/>
        <v>0</v>
      </c>
      <c r="AB108" s="75">
        <f t="shared" si="135"/>
        <v>0</v>
      </c>
      <c r="AC108" s="75">
        <f t="shared" si="135"/>
        <v>0</v>
      </c>
      <c r="AD108" s="75">
        <f t="shared" si="135"/>
        <v>0</v>
      </c>
      <c r="AE108" s="75">
        <f t="shared" si="135"/>
        <v>0</v>
      </c>
      <c r="AF108" s="75">
        <f>+AF84+AF52+AF29+AF24+AF15</f>
        <v>3926208846.4434009</v>
      </c>
      <c r="AG108" s="75">
        <f t="shared" si="135"/>
        <v>7063358445.8898964</v>
      </c>
      <c r="AH108" s="75">
        <f t="shared" si="135"/>
        <v>5010790027.1403694</v>
      </c>
      <c r="AI108" s="75">
        <f t="shared" si="135"/>
        <v>4908862040.4992666</v>
      </c>
      <c r="AJ108" s="75">
        <f t="shared" si="135"/>
        <v>2696634110.9889584</v>
      </c>
      <c r="AK108" s="75">
        <f t="shared" si="135"/>
        <v>390666059.84790432</v>
      </c>
      <c r="AL108" s="75">
        <f t="shared" si="135"/>
        <v>2042593578.6385303</v>
      </c>
      <c r="AM108" s="75">
        <f t="shared" si="135"/>
        <v>381118354.32718039</v>
      </c>
      <c r="AN108" s="75">
        <f t="shared" si="135"/>
        <v>381118354.32718039</v>
      </c>
      <c r="AO108" s="75">
        <f t="shared" si="135"/>
        <v>701465981.24986255</v>
      </c>
      <c r="AP108" s="75">
        <f t="shared" si="135"/>
        <v>0</v>
      </c>
      <c r="AQ108" s="75">
        <f t="shared" si="135"/>
        <v>23576606952.909149</v>
      </c>
      <c r="AR108" s="75">
        <f t="shared" si="135"/>
        <v>253388328.00468329</v>
      </c>
      <c r="AS108" s="75">
        <f t="shared" si="135"/>
        <v>238991377.23964757</v>
      </c>
      <c r="AT108" s="75">
        <f t="shared" si="135"/>
        <v>492379705.24433088</v>
      </c>
      <c r="AU108" s="75">
        <f>+AU84+AU52+AU29+AU24+AU15</f>
        <v>104152581416.26395</v>
      </c>
    </row>
    <row r="109" spans="1:47" ht="15" customHeight="1" thickTop="1" thickBot="1" x14ac:dyDescent="0.25">
      <c r="A109" s="20" t="s">
        <v>96</v>
      </c>
      <c r="B109" s="46"/>
      <c r="C109" s="46"/>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8"/>
      <c r="AH109" s="48"/>
      <c r="AI109" s="48"/>
      <c r="AJ109" s="48"/>
      <c r="AK109" s="48"/>
      <c r="AL109" s="48"/>
      <c r="AM109" s="48"/>
      <c r="AN109" s="48"/>
      <c r="AO109" s="47"/>
      <c r="AP109" s="47"/>
      <c r="AQ109" s="49"/>
      <c r="AR109" s="48"/>
      <c r="AS109" s="48"/>
      <c r="AT109" s="48"/>
      <c r="AU109" s="49"/>
    </row>
    <row r="110" spans="1:47" ht="15" customHeight="1" thickTop="1" thickBot="1" x14ac:dyDescent="0.25">
      <c r="A110" s="41" t="s">
        <v>97</v>
      </c>
      <c r="B110" s="35"/>
      <c r="C110" s="35">
        <v>0</v>
      </c>
      <c r="D110" s="30"/>
      <c r="E110" s="30"/>
      <c r="F110" s="30"/>
      <c r="G110" s="30"/>
      <c r="H110" s="30"/>
      <c r="I110" s="30"/>
      <c r="J110" s="30"/>
      <c r="K110" s="30"/>
      <c r="L110" s="30"/>
      <c r="M110" s="30"/>
      <c r="N110" s="30"/>
      <c r="O110" s="30"/>
      <c r="P110" s="30">
        <f>SUM(E110:O110)</f>
        <v>0</v>
      </c>
      <c r="Q110" s="30"/>
      <c r="R110" s="30"/>
      <c r="S110" s="30"/>
      <c r="T110" s="30"/>
      <c r="U110" s="30">
        <f t="shared" ref="U110" si="136">SUM(Q110:T110)</f>
        <v>0</v>
      </c>
      <c r="V110" s="30">
        <f>P110+U110</f>
        <v>0</v>
      </c>
      <c r="W110" s="30"/>
      <c r="X110" s="30"/>
      <c r="Y110" s="30"/>
      <c r="Z110" s="30">
        <f>SUM(W110:Y110)</f>
        <v>0</v>
      </c>
      <c r="AA110" s="30"/>
      <c r="AB110" s="30"/>
      <c r="AC110" s="30"/>
      <c r="AD110" s="30"/>
      <c r="AE110" s="30">
        <f>SUM(AA110:AD110)</f>
        <v>0</v>
      </c>
      <c r="AF110" s="30">
        <f>Z110+AE110</f>
        <v>0</v>
      </c>
      <c r="AG110" s="31"/>
      <c r="AH110" s="31"/>
      <c r="AI110" s="31"/>
      <c r="AJ110" s="31"/>
      <c r="AK110" s="31"/>
      <c r="AL110" s="31"/>
      <c r="AM110" s="31"/>
      <c r="AN110" s="31"/>
      <c r="AO110" s="30"/>
      <c r="AP110" s="30"/>
      <c r="AQ110" s="32">
        <f>SUM(AG110:AP110)</f>
        <v>0</v>
      </c>
      <c r="AR110" s="31"/>
      <c r="AS110" s="31"/>
      <c r="AT110" s="31">
        <f>SUM(AR110:AS110)</f>
        <v>0</v>
      </c>
      <c r="AU110" s="33"/>
    </row>
    <row r="111" spans="1:47" ht="15" customHeight="1" thickTop="1" thickBot="1" x14ac:dyDescent="0.25">
      <c r="A111" s="43" t="s">
        <v>98</v>
      </c>
      <c r="B111" s="44"/>
      <c r="C111" s="45">
        <f t="shared" ref="C111:AT111" si="137">SUM(C110:C110)</f>
        <v>0</v>
      </c>
      <c r="D111" s="50">
        <f t="shared" si="137"/>
        <v>0</v>
      </c>
      <c r="E111" s="50">
        <f t="shared" si="137"/>
        <v>0</v>
      </c>
      <c r="F111" s="50">
        <f t="shared" si="137"/>
        <v>0</v>
      </c>
      <c r="G111" s="50">
        <f t="shared" si="137"/>
        <v>0</v>
      </c>
      <c r="H111" s="50">
        <f t="shared" si="137"/>
        <v>0</v>
      </c>
      <c r="I111" s="50">
        <f t="shared" si="137"/>
        <v>0</v>
      </c>
      <c r="J111" s="50">
        <f t="shared" si="137"/>
        <v>0</v>
      </c>
      <c r="K111" s="50">
        <f t="shared" si="137"/>
        <v>0</v>
      </c>
      <c r="L111" s="50">
        <f t="shared" si="137"/>
        <v>0</v>
      </c>
      <c r="M111" s="50">
        <f t="shared" si="137"/>
        <v>0</v>
      </c>
      <c r="N111" s="50">
        <f t="shared" si="137"/>
        <v>0</v>
      </c>
      <c r="O111" s="50">
        <f t="shared" si="137"/>
        <v>0</v>
      </c>
      <c r="P111" s="50">
        <f t="shared" si="137"/>
        <v>0</v>
      </c>
      <c r="Q111" s="50">
        <f t="shared" si="137"/>
        <v>0</v>
      </c>
      <c r="R111" s="50">
        <f t="shared" si="137"/>
        <v>0</v>
      </c>
      <c r="S111" s="50">
        <f t="shared" si="137"/>
        <v>0</v>
      </c>
      <c r="T111" s="50">
        <f t="shared" si="137"/>
        <v>0</v>
      </c>
      <c r="U111" s="51">
        <f t="shared" si="137"/>
        <v>0</v>
      </c>
      <c r="V111" s="52">
        <f t="shared" si="137"/>
        <v>0</v>
      </c>
      <c r="W111" s="50">
        <f t="shared" si="137"/>
        <v>0</v>
      </c>
      <c r="X111" s="50">
        <f t="shared" si="137"/>
        <v>0</v>
      </c>
      <c r="Y111" s="50">
        <f t="shared" si="137"/>
        <v>0</v>
      </c>
      <c r="Z111" s="50">
        <f t="shared" si="137"/>
        <v>0</v>
      </c>
      <c r="AA111" s="50">
        <f t="shared" si="137"/>
        <v>0</v>
      </c>
      <c r="AB111" s="50">
        <f t="shared" si="137"/>
        <v>0</v>
      </c>
      <c r="AC111" s="50">
        <f t="shared" si="137"/>
        <v>0</v>
      </c>
      <c r="AD111" s="50">
        <f t="shared" si="137"/>
        <v>0</v>
      </c>
      <c r="AE111" s="50">
        <f t="shared" si="137"/>
        <v>0</v>
      </c>
      <c r="AF111" s="50">
        <f t="shared" si="137"/>
        <v>0</v>
      </c>
      <c r="AG111" s="50">
        <f t="shared" si="137"/>
        <v>0</v>
      </c>
      <c r="AH111" s="50">
        <f t="shared" si="137"/>
        <v>0</v>
      </c>
      <c r="AI111" s="50">
        <f t="shared" si="137"/>
        <v>0</v>
      </c>
      <c r="AJ111" s="50">
        <f t="shared" si="137"/>
        <v>0</v>
      </c>
      <c r="AK111" s="50">
        <f t="shared" si="137"/>
        <v>0</v>
      </c>
      <c r="AL111" s="50">
        <f t="shared" si="137"/>
        <v>0</v>
      </c>
      <c r="AM111" s="50">
        <f t="shared" si="137"/>
        <v>0</v>
      </c>
      <c r="AN111" s="50">
        <f t="shared" si="137"/>
        <v>0</v>
      </c>
      <c r="AO111" s="50">
        <f t="shared" si="137"/>
        <v>0</v>
      </c>
      <c r="AP111" s="50">
        <f t="shared" si="137"/>
        <v>0</v>
      </c>
      <c r="AQ111" s="51">
        <f t="shared" si="137"/>
        <v>0</v>
      </c>
      <c r="AR111" s="50">
        <f t="shared" si="137"/>
        <v>0</v>
      </c>
      <c r="AS111" s="50">
        <f t="shared" si="137"/>
        <v>0</v>
      </c>
      <c r="AT111" s="50">
        <f t="shared" si="137"/>
        <v>0</v>
      </c>
      <c r="AU111" s="51">
        <f>V111+AF111+AQ111</f>
        <v>0</v>
      </c>
    </row>
    <row r="112" spans="1:47" ht="15" customHeight="1" thickTop="1" thickBot="1" x14ac:dyDescent="0.25">
      <c r="A112" s="53" t="s">
        <v>99</v>
      </c>
      <c r="B112" s="54"/>
      <c r="C112" s="55">
        <f t="shared" ref="C112:O112" si="138">C108+C111</f>
        <v>1371</v>
      </c>
      <c r="D112" s="56">
        <f t="shared" si="138"/>
        <v>258678767.2572</v>
      </c>
      <c r="E112" s="56">
        <f t="shared" si="138"/>
        <v>58302013659.283195</v>
      </c>
      <c r="F112" s="56">
        <f t="shared" si="138"/>
        <v>193965252</v>
      </c>
      <c r="G112" s="56">
        <f t="shared" si="138"/>
        <v>1942679516.6202002</v>
      </c>
      <c r="H112" s="56">
        <f t="shared" si="138"/>
        <v>28594020</v>
      </c>
      <c r="I112" s="56">
        <f t="shared" si="138"/>
        <v>37045992</v>
      </c>
      <c r="J112" s="56">
        <f t="shared" si="138"/>
        <v>2456269621.1472397</v>
      </c>
      <c r="K112" s="56">
        <f t="shared" si="138"/>
        <v>2286975468.4457421</v>
      </c>
      <c r="L112" s="56">
        <f t="shared" si="138"/>
        <v>629029258.61574996</v>
      </c>
      <c r="M112" s="56">
        <f t="shared" si="138"/>
        <v>6002895193.3975544</v>
      </c>
      <c r="N112" s="56">
        <f t="shared" si="138"/>
        <v>4770297635.4017305</v>
      </c>
      <c r="O112" s="56">
        <f t="shared" si="138"/>
        <v>0</v>
      </c>
      <c r="P112" s="56">
        <f>SUM(E112:O112)</f>
        <v>76649765616.911423</v>
      </c>
      <c r="Q112" s="56">
        <f>Q108+Q111</f>
        <v>0</v>
      </c>
      <c r="R112" s="56">
        <f>R108+R111</f>
        <v>0</v>
      </c>
      <c r="S112" s="56">
        <f>S108+S111</f>
        <v>0</v>
      </c>
      <c r="T112" s="56">
        <f>T108+T111</f>
        <v>0</v>
      </c>
      <c r="U112" s="57">
        <f>SUM(Q112:T112)</f>
        <v>0</v>
      </c>
      <c r="V112" s="58">
        <f>P112+U112</f>
        <v>76649765616.911423</v>
      </c>
      <c r="W112" s="56">
        <f>W108+W111</f>
        <v>5334951451.9271936</v>
      </c>
      <c r="X112" s="56">
        <f>X108+X111</f>
        <v>103000000</v>
      </c>
      <c r="Y112" s="56">
        <f>Y108+Y111</f>
        <v>325720724.12178671</v>
      </c>
      <c r="Z112" s="56">
        <f>SUM(W112:Y112)</f>
        <v>5763672176.0489807</v>
      </c>
      <c r="AA112" s="56">
        <f>AA108+AA111</f>
        <v>0</v>
      </c>
      <c r="AB112" s="56">
        <f>AB108+AB111</f>
        <v>0</v>
      </c>
      <c r="AC112" s="56">
        <f>AC108+AC111</f>
        <v>0</v>
      </c>
      <c r="AD112" s="56">
        <f>AD108+AD111</f>
        <v>0</v>
      </c>
      <c r="AE112" s="56">
        <f>SUM(AA112:AD112)</f>
        <v>0</v>
      </c>
      <c r="AF112" s="56">
        <f>+AF111+AF108</f>
        <v>3926208846.4434009</v>
      </c>
      <c r="AG112" s="56">
        <f t="shared" ref="AG112:AP112" si="139">AG108+AG111</f>
        <v>7063358445.8898964</v>
      </c>
      <c r="AH112" s="56">
        <f t="shared" si="139"/>
        <v>5010790027.1403694</v>
      </c>
      <c r="AI112" s="56">
        <f t="shared" si="139"/>
        <v>4908862040.4992666</v>
      </c>
      <c r="AJ112" s="56">
        <f t="shared" si="139"/>
        <v>2696634110.9889584</v>
      </c>
      <c r="AK112" s="56">
        <f t="shared" si="139"/>
        <v>390666059.84790432</v>
      </c>
      <c r="AL112" s="56">
        <f t="shared" si="139"/>
        <v>2042593578.6385303</v>
      </c>
      <c r="AM112" s="56">
        <f t="shared" si="139"/>
        <v>381118354.32718039</v>
      </c>
      <c r="AN112" s="56">
        <f t="shared" si="139"/>
        <v>381118354.32718039</v>
      </c>
      <c r="AO112" s="56">
        <f t="shared" si="139"/>
        <v>701465981.24986255</v>
      </c>
      <c r="AP112" s="56">
        <f t="shared" si="139"/>
        <v>0</v>
      </c>
      <c r="AQ112" s="57">
        <f>SUM(AG112:AP112)</f>
        <v>23576606952.909149</v>
      </c>
      <c r="AR112" s="56">
        <f>AR108+AR111</f>
        <v>253388328.00468329</v>
      </c>
      <c r="AS112" s="56">
        <f>AS108+AS111</f>
        <v>238991377.23964757</v>
      </c>
      <c r="AT112" s="59">
        <f>SUM(AR112:AS112)</f>
        <v>492379705.24433088</v>
      </c>
      <c r="AU112" s="57">
        <f>V112+AF112+AQ112</f>
        <v>104152581416.26398</v>
      </c>
    </row>
    <row r="113" spans="1:51" ht="25" customHeight="1" thickTop="1" x14ac:dyDescent="0.2">
      <c r="A113" s="84" t="s">
        <v>114</v>
      </c>
      <c r="B113" s="84"/>
      <c r="C113" s="84"/>
      <c r="D113" s="84"/>
      <c r="E113" s="2"/>
      <c r="F113" s="2"/>
      <c r="G113" s="2"/>
      <c r="H113" s="2"/>
      <c r="I113" s="2"/>
      <c r="J113" s="2"/>
      <c r="K113" s="2"/>
      <c r="L113" s="2"/>
      <c r="M113" s="2"/>
      <c r="N113" s="2"/>
      <c r="O113" s="2"/>
      <c r="P113" s="2"/>
      <c r="Q113" s="2"/>
      <c r="R113" s="2"/>
      <c r="S113" s="2"/>
      <c r="T113" s="2"/>
      <c r="U113" s="2"/>
      <c r="V113" s="2"/>
      <c r="W113" s="1"/>
      <c r="X113" s="1"/>
      <c r="Y113" s="1"/>
      <c r="Z113" s="1"/>
      <c r="AA113" s="1"/>
      <c r="AB113" s="1"/>
      <c r="AC113" s="1"/>
      <c r="AD113" s="1"/>
      <c r="AE113" s="1"/>
      <c r="AF113" s="3"/>
      <c r="AG113" s="1"/>
      <c r="AH113" s="2"/>
      <c r="AI113" s="2"/>
      <c r="AJ113" s="2"/>
      <c r="AK113" s="1"/>
      <c r="AL113" s="1"/>
      <c r="AM113" s="1"/>
      <c r="AN113" s="1"/>
      <c r="AO113" s="1"/>
      <c r="AP113" s="1"/>
      <c r="AQ113" s="1"/>
      <c r="AR113" s="1"/>
      <c r="AS113" s="1"/>
      <c r="AT113" s="1"/>
      <c r="AU113" s="3"/>
    </row>
    <row r="114" spans="1:51" x14ac:dyDescent="0.2">
      <c r="A114" s="85"/>
      <c r="B114" s="85"/>
      <c r="C114" s="85"/>
      <c r="D114" s="85"/>
    </row>
    <row r="117" spans="1:51" x14ac:dyDescent="0.2">
      <c r="I117">
        <v>908526</v>
      </c>
      <c r="AY117" s="74"/>
    </row>
    <row r="118" spans="1:51" x14ac:dyDescent="0.2">
      <c r="I118">
        <f>+I117*2</f>
        <v>1817052</v>
      </c>
    </row>
  </sheetData>
  <sheetProtection algorithmName="SHA-512" hashValue="EjGWVfu3AUk9jZkl3jvElJrmnDbL7CN5SHnxMwkXe2IG9RDCzhNWkKi9dVPmggV/eoXUbqvu9fckXLgo13b6DQ==" saltValue="BnH9LWZ2tt0G6A8U5bh0hA==" spinCount="100000" sheet="1" objects="1" scenarios="1"/>
  <mergeCells count="62">
    <mergeCell ref="AD11:AD12"/>
    <mergeCell ref="Y11:Y12"/>
    <mergeCell ref="Z11:Z12"/>
    <mergeCell ref="AA11:AA12"/>
    <mergeCell ref="AB11:AB12"/>
    <mergeCell ref="AC11:AC12"/>
    <mergeCell ref="AS10:AS12"/>
    <mergeCell ref="AT10:AT12"/>
    <mergeCell ref="D11:E11"/>
    <mergeCell ref="F11:F12"/>
    <mergeCell ref="G11:G12"/>
    <mergeCell ref="H11:H12"/>
    <mergeCell ref="I11:I12"/>
    <mergeCell ref="J11:J12"/>
    <mergeCell ref="K11:K12"/>
    <mergeCell ref="L11:L12"/>
    <mergeCell ref="AM10:AM12"/>
    <mergeCell ref="AN10:AN12"/>
    <mergeCell ref="AO10:AO12"/>
    <mergeCell ref="AP10:AP12"/>
    <mergeCell ref="AQ10:AQ12"/>
    <mergeCell ref="M11:M12"/>
    <mergeCell ref="AF10:AF12"/>
    <mergeCell ref="AG10:AG12"/>
    <mergeCell ref="AH10:AH12"/>
    <mergeCell ref="AG9:AQ9"/>
    <mergeCell ref="AI10:AI12"/>
    <mergeCell ref="AJ10:AJ12"/>
    <mergeCell ref="AK10:AK12"/>
    <mergeCell ref="AL10:AL12"/>
    <mergeCell ref="D10:P10"/>
    <mergeCell ref="Q10:U10"/>
    <mergeCell ref="V10:V12"/>
    <mergeCell ref="W10:Z10"/>
    <mergeCell ref="AA10:AE10"/>
    <mergeCell ref="R11:R12"/>
    <mergeCell ref="N11:N12"/>
    <mergeCell ref="O11:O12"/>
    <mergeCell ref="P11:P12"/>
    <mergeCell ref="Q11:Q12"/>
    <mergeCell ref="AE11:AE12"/>
    <mergeCell ref="S11:S12"/>
    <mergeCell ref="T11:T12"/>
    <mergeCell ref="U11:U12"/>
    <mergeCell ref="W11:W12"/>
    <mergeCell ref="X11:X12"/>
    <mergeCell ref="D7:K7"/>
    <mergeCell ref="D12:D13"/>
    <mergeCell ref="A113:D114"/>
    <mergeCell ref="A1:AU1"/>
    <mergeCell ref="A2:AU2"/>
    <mergeCell ref="A3:AU3"/>
    <mergeCell ref="B4:L4"/>
    <mergeCell ref="B5:L5"/>
    <mergeCell ref="A9:A12"/>
    <mergeCell ref="B9:B12"/>
    <mergeCell ref="C9:C12"/>
    <mergeCell ref="D9:V9"/>
    <mergeCell ref="W9:AF9"/>
    <mergeCell ref="AR10:AR12"/>
    <mergeCell ref="AR9:AT9"/>
    <mergeCell ref="AU9:AU12"/>
  </mergeCells>
  <dataValidations count="1">
    <dataValidation type="list" allowBlank="1" showInputMessage="1" showErrorMessage="1" sqref="B4:L4" xr:uid="{00000000-0002-0000-0100-000000000000}">
      <formula1>#REF!</formula1>
    </dataValidation>
  </dataValidations>
  <pageMargins left="0.7" right="0.7" top="0.75" bottom="0.75" header="0.3" footer="0.3"/>
  <ignoredErrors>
    <ignoredError sqref="C15:AU15 C24 C16 E16:H16 C17:C23 E17:H17 C52:H52 C31:C51 H31:H51 C84:G84 C53:C83 C109:AU112 C85:C107 E19:F23 E18:F18 H18 H19:H23 G18:G22 C29:H29 C25:C27 H26:H28 H24 G25:G28 C28 C30 C108 E108:AU108 J16:AU16 J17:AU17 J18:AU18 J19:AU23 H25 J25:AU25 J26:AU28 H30 J30:AU30 J31:AU51 J53:AU53 J54:AU83 J85:AU85 J86:AU107 H53:H83 H85:H107 J84:AU84 J52:AU52 J29:AU29 J24:AU24 I84 I24 I29 I52 I16:I23 I53:I83 I30:I51 I25:I28 I85:I107 E24:F24 E25:F27 E28 E31:F51 E30 E53:F83 E85:F107" unlockedFormula="1"/>
    <ignoredError sqref="G24 H84" formula="1" unlockedFormula="1"/>
    <ignoredError sqref="B85:B97 B58:B79 B4 B30:B37 B28" numberStoredAsText="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114"/>
  <sheetViews>
    <sheetView tabSelected="1" workbookViewId="0">
      <selection activeCell="L7" sqref="L7"/>
    </sheetView>
  </sheetViews>
  <sheetFormatPr baseColWidth="10" defaultRowHeight="16" x14ac:dyDescent="0.2"/>
  <cols>
    <col min="1" max="1" width="55.83203125" customWidth="1"/>
    <col min="2" max="3" width="11.1640625" bestFit="1" customWidth="1"/>
    <col min="4" max="4" width="16.33203125" bestFit="1" customWidth="1"/>
    <col min="5" max="5" width="18.83203125" bestFit="1" customWidth="1"/>
    <col min="6" max="7" width="16.33203125" bestFit="1" customWidth="1"/>
    <col min="8" max="9" width="15.1640625" bestFit="1" customWidth="1"/>
    <col min="10" max="11" width="17.83203125" bestFit="1" customWidth="1"/>
    <col min="12" max="12" width="16.33203125" bestFit="1" customWidth="1"/>
    <col min="13" max="14" width="17.83203125" bestFit="1" customWidth="1"/>
    <col min="15" max="15" width="11.1640625" bestFit="1" customWidth="1"/>
    <col min="16" max="16" width="18.83203125" bestFit="1" customWidth="1"/>
    <col min="17" max="21" width="11.1640625" bestFit="1" customWidth="1"/>
    <col min="22" max="22" width="18.83203125" bestFit="1" customWidth="1"/>
    <col min="23" max="23" width="17.83203125" bestFit="1" customWidth="1"/>
    <col min="24" max="25" width="16.33203125" bestFit="1" customWidth="1"/>
    <col min="26" max="26" width="17.83203125" bestFit="1" customWidth="1"/>
    <col min="27" max="31" width="11.1640625" bestFit="1" customWidth="1"/>
    <col min="32" max="36" width="17.83203125" bestFit="1" customWidth="1"/>
    <col min="37" max="37" width="16.33203125" bestFit="1" customWidth="1"/>
    <col min="38" max="38" width="17.83203125" bestFit="1" customWidth="1"/>
    <col min="39" max="41" width="16.33203125" bestFit="1" customWidth="1"/>
    <col min="42" max="42" width="11.1640625" bestFit="1" customWidth="1"/>
    <col min="43" max="43" width="18.83203125" bestFit="1" customWidth="1"/>
    <col min="44" max="46" width="16.33203125" bestFit="1" customWidth="1"/>
    <col min="47" max="47" width="20.33203125" customWidth="1"/>
  </cols>
  <sheetData>
    <row r="1" spans="1:47" ht="15" customHeight="1" x14ac:dyDescent="0.2">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row>
    <row r="2" spans="1:47" ht="15" customHeight="1" x14ac:dyDescent="0.2">
      <c r="A2" s="87" t="s">
        <v>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row>
    <row r="3" spans="1:47" ht="15" customHeight="1" x14ac:dyDescent="0.2">
      <c r="A3" s="88" t="s">
        <v>2</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row>
    <row r="4" spans="1:47" ht="15" customHeight="1" x14ac:dyDescent="0.2">
      <c r="A4" s="4" t="s">
        <v>3</v>
      </c>
      <c r="B4" s="89" t="s">
        <v>4</v>
      </c>
      <c r="C4" s="89"/>
      <c r="D4" s="89"/>
      <c r="E4" s="89"/>
      <c r="F4" s="89"/>
      <c r="G4" s="89"/>
      <c r="H4" s="89"/>
      <c r="I4" s="89"/>
      <c r="J4" s="89"/>
      <c r="K4" s="89"/>
      <c r="L4" s="89"/>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row>
    <row r="5" spans="1:47" ht="15" customHeight="1" x14ac:dyDescent="0.2">
      <c r="A5" s="4" t="s">
        <v>5</v>
      </c>
      <c r="B5" s="90" t="s">
        <v>100</v>
      </c>
      <c r="C5" s="90"/>
      <c r="D5" s="90"/>
      <c r="E5" s="90"/>
      <c r="F5" s="90"/>
      <c r="G5" s="90"/>
      <c r="H5" s="90"/>
      <c r="I5" s="90"/>
      <c r="J5" s="90"/>
      <c r="K5" s="90"/>
      <c r="L5" s="90"/>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row>
    <row r="6" spans="1:47" ht="15" customHeight="1" x14ac:dyDescent="0.2">
      <c r="A6" s="6"/>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9" customHeight="1" x14ac:dyDescent="0.2">
      <c r="A7" s="5"/>
      <c r="B7" s="5"/>
      <c r="C7" s="7"/>
      <c r="D7" s="86" t="s">
        <v>116</v>
      </c>
      <c r="E7" s="86"/>
      <c r="F7" s="86"/>
      <c r="G7" s="86"/>
      <c r="H7" s="86"/>
      <c r="I7" s="86"/>
      <c r="J7" s="86"/>
      <c r="K7" s="86"/>
      <c r="L7" s="81">
        <v>2022</v>
      </c>
      <c r="M7" s="5"/>
      <c r="N7" s="5"/>
      <c r="O7" s="8" t="s">
        <v>6</v>
      </c>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row>
    <row r="8" spans="1:47" ht="15" customHeight="1" thickBot="1" x14ac:dyDescent="0.25">
      <c r="A8" s="9"/>
      <c r="B8" s="7"/>
      <c r="C8" s="10"/>
      <c r="D8" s="11"/>
      <c r="E8" s="11"/>
      <c r="F8" s="11"/>
      <c r="G8" s="11"/>
      <c r="H8" s="12"/>
      <c r="I8" s="11"/>
      <c r="J8" s="11"/>
      <c r="K8" s="11"/>
      <c r="L8" s="11"/>
      <c r="M8" s="11"/>
      <c r="N8" s="11"/>
      <c r="O8" s="11"/>
      <c r="P8" s="11"/>
      <c r="Q8" s="11"/>
      <c r="R8" s="11"/>
      <c r="S8" s="11"/>
      <c r="T8" s="11"/>
      <c r="U8" s="11"/>
      <c r="V8" s="11"/>
      <c r="W8" s="5"/>
      <c r="X8" s="5"/>
      <c r="Y8" s="5"/>
      <c r="Z8" s="5"/>
      <c r="AA8" s="5"/>
      <c r="AB8" s="5"/>
      <c r="AC8" s="5"/>
      <c r="AD8" s="5"/>
      <c r="AE8" s="5"/>
      <c r="AF8" s="5"/>
      <c r="AG8" s="5"/>
      <c r="AH8" s="5"/>
      <c r="AI8" s="5"/>
      <c r="AJ8" s="5"/>
      <c r="AK8" s="5"/>
      <c r="AL8" s="5"/>
      <c r="AM8" s="5"/>
      <c r="AN8" s="5"/>
      <c r="AO8" s="5"/>
      <c r="AP8" s="5"/>
      <c r="AQ8" s="5"/>
      <c r="AR8" s="5"/>
      <c r="AS8" s="5"/>
      <c r="AT8" s="5"/>
      <c r="AU8" s="5"/>
    </row>
    <row r="9" spans="1:47" ht="15" customHeight="1" thickTop="1" x14ac:dyDescent="0.2">
      <c r="A9" s="91" t="s">
        <v>7</v>
      </c>
      <c r="B9" s="93" t="s">
        <v>8</v>
      </c>
      <c r="C9" s="95" t="s">
        <v>9</v>
      </c>
      <c r="D9" s="94" t="s">
        <v>10</v>
      </c>
      <c r="E9" s="97"/>
      <c r="F9" s="97"/>
      <c r="G9" s="97"/>
      <c r="H9" s="97"/>
      <c r="I9" s="97"/>
      <c r="J9" s="97"/>
      <c r="K9" s="97"/>
      <c r="L9" s="97"/>
      <c r="M9" s="97"/>
      <c r="N9" s="97"/>
      <c r="O9" s="97"/>
      <c r="P9" s="97"/>
      <c r="Q9" s="98"/>
      <c r="R9" s="98"/>
      <c r="S9" s="98"/>
      <c r="T9" s="98"/>
      <c r="U9" s="98"/>
      <c r="V9" s="99"/>
      <c r="W9" s="100" t="s">
        <v>11</v>
      </c>
      <c r="X9" s="101"/>
      <c r="Y9" s="101"/>
      <c r="Z9" s="101"/>
      <c r="AA9" s="101"/>
      <c r="AB9" s="101"/>
      <c r="AC9" s="101"/>
      <c r="AD9" s="101"/>
      <c r="AE9" s="101"/>
      <c r="AF9" s="102"/>
      <c r="AG9" s="100" t="s">
        <v>12</v>
      </c>
      <c r="AH9" s="101"/>
      <c r="AI9" s="101"/>
      <c r="AJ9" s="101"/>
      <c r="AK9" s="101"/>
      <c r="AL9" s="101"/>
      <c r="AM9" s="101"/>
      <c r="AN9" s="101"/>
      <c r="AO9" s="101"/>
      <c r="AP9" s="101"/>
      <c r="AQ9" s="102"/>
      <c r="AR9" s="94" t="s">
        <v>13</v>
      </c>
      <c r="AS9" s="97"/>
      <c r="AT9" s="92"/>
      <c r="AU9" s="104" t="s">
        <v>14</v>
      </c>
    </row>
    <row r="10" spans="1:47" ht="15" customHeight="1" x14ac:dyDescent="0.2">
      <c r="A10" s="92"/>
      <c r="B10" s="94"/>
      <c r="C10" s="94"/>
      <c r="D10" s="106" t="s">
        <v>15</v>
      </c>
      <c r="E10" s="107"/>
      <c r="F10" s="107"/>
      <c r="G10" s="107"/>
      <c r="H10" s="107"/>
      <c r="I10" s="107"/>
      <c r="J10" s="107"/>
      <c r="K10" s="107"/>
      <c r="L10" s="107"/>
      <c r="M10" s="107"/>
      <c r="N10" s="107"/>
      <c r="O10" s="107"/>
      <c r="P10" s="108"/>
      <c r="Q10" s="106" t="s">
        <v>16</v>
      </c>
      <c r="R10" s="107"/>
      <c r="S10" s="107"/>
      <c r="T10" s="107"/>
      <c r="U10" s="108"/>
      <c r="V10" s="82" t="s">
        <v>17</v>
      </c>
      <c r="W10" s="106" t="s">
        <v>18</v>
      </c>
      <c r="X10" s="107"/>
      <c r="Y10" s="107"/>
      <c r="Z10" s="108"/>
      <c r="AA10" s="106" t="s">
        <v>19</v>
      </c>
      <c r="AB10" s="107"/>
      <c r="AC10" s="107"/>
      <c r="AD10" s="107"/>
      <c r="AE10" s="108"/>
      <c r="AF10" s="82" t="s">
        <v>17</v>
      </c>
      <c r="AG10" s="96" t="s">
        <v>20</v>
      </c>
      <c r="AH10" s="96" t="s">
        <v>21</v>
      </c>
      <c r="AI10" s="96" t="s">
        <v>22</v>
      </c>
      <c r="AJ10" s="96" t="s">
        <v>23</v>
      </c>
      <c r="AK10" s="96" t="s">
        <v>24</v>
      </c>
      <c r="AL10" s="96" t="s">
        <v>25</v>
      </c>
      <c r="AM10" s="96" t="s">
        <v>26</v>
      </c>
      <c r="AN10" s="96" t="s">
        <v>27</v>
      </c>
      <c r="AO10" s="96" t="s">
        <v>28</v>
      </c>
      <c r="AP10" s="96" t="s">
        <v>29</v>
      </c>
      <c r="AQ10" s="96" t="s">
        <v>17</v>
      </c>
      <c r="AR10" s="103" t="s">
        <v>30</v>
      </c>
      <c r="AS10" s="103" t="s">
        <v>31</v>
      </c>
      <c r="AT10" s="103" t="s">
        <v>32</v>
      </c>
      <c r="AU10" s="105"/>
    </row>
    <row r="11" spans="1:47" ht="15" customHeight="1" x14ac:dyDescent="0.2">
      <c r="A11" s="92"/>
      <c r="B11" s="94"/>
      <c r="C11" s="96"/>
      <c r="D11" s="106" t="s">
        <v>33</v>
      </c>
      <c r="E11" s="108"/>
      <c r="F11" s="82" t="s">
        <v>34</v>
      </c>
      <c r="G11" s="82" t="s">
        <v>35</v>
      </c>
      <c r="H11" s="82" t="s">
        <v>36</v>
      </c>
      <c r="I11" s="82" t="s">
        <v>37</v>
      </c>
      <c r="J11" s="82" t="s">
        <v>38</v>
      </c>
      <c r="K11" s="82" t="s">
        <v>39</v>
      </c>
      <c r="L11" s="82" t="s">
        <v>40</v>
      </c>
      <c r="M11" s="82" t="s">
        <v>41</v>
      </c>
      <c r="N11" s="82" t="s">
        <v>42</v>
      </c>
      <c r="O11" s="82" t="s">
        <v>43</v>
      </c>
      <c r="P11" s="82" t="s">
        <v>44</v>
      </c>
      <c r="Q11" s="82" t="s">
        <v>45</v>
      </c>
      <c r="R11" s="82" t="s">
        <v>46</v>
      </c>
      <c r="S11" s="82" t="s">
        <v>47</v>
      </c>
      <c r="T11" s="82" t="s">
        <v>48</v>
      </c>
      <c r="U11" s="82" t="s">
        <v>49</v>
      </c>
      <c r="V11" s="96"/>
      <c r="W11" s="82" t="s">
        <v>50</v>
      </c>
      <c r="X11" s="82" t="s">
        <v>51</v>
      </c>
      <c r="Y11" s="82" t="s">
        <v>52</v>
      </c>
      <c r="Z11" s="82" t="s">
        <v>44</v>
      </c>
      <c r="AA11" s="82" t="s">
        <v>53</v>
      </c>
      <c r="AB11" s="82" t="s">
        <v>54</v>
      </c>
      <c r="AC11" s="82" t="s">
        <v>55</v>
      </c>
      <c r="AD11" s="82" t="s">
        <v>56</v>
      </c>
      <c r="AE11" s="82" t="s">
        <v>49</v>
      </c>
      <c r="AF11" s="96"/>
      <c r="AG11" s="96"/>
      <c r="AH11" s="96"/>
      <c r="AI11" s="96"/>
      <c r="AJ11" s="96"/>
      <c r="AK11" s="96"/>
      <c r="AL11" s="96"/>
      <c r="AM11" s="96"/>
      <c r="AN11" s="96"/>
      <c r="AO11" s="96" t="s">
        <v>57</v>
      </c>
      <c r="AP11" s="96" t="s">
        <v>57</v>
      </c>
      <c r="AQ11" s="96" t="s">
        <v>57</v>
      </c>
      <c r="AR11" s="103"/>
      <c r="AS11" s="103"/>
      <c r="AT11" s="103"/>
      <c r="AU11" s="105"/>
    </row>
    <row r="12" spans="1:47" ht="15" customHeight="1" x14ac:dyDescent="0.2">
      <c r="A12" s="92"/>
      <c r="B12" s="94"/>
      <c r="C12" s="96"/>
      <c r="D12" s="82" t="s">
        <v>104</v>
      </c>
      <c r="E12" s="67" t="s">
        <v>58</v>
      </c>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t="s">
        <v>59</v>
      </c>
      <c r="AP12" s="96" t="s">
        <v>59</v>
      </c>
      <c r="AQ12" s="96" t="s">
        <v>59</v>
      </c>
      <c r="AR12" s="103"/>
      <c r="AS12" s="103"/>
      <c r="AT12" s="103"/>
      <c r="AU12" s="105"/>
    </row>
    <row r="13" spans="1:47" ht="15" customHeight="1" thickBot="1" x14ac:dyDescent="0.25">
      <c r="A13" s="69">
        <v>1</v>
      </c>
      <c r="B13" s="15">
        <v>2</v>
      </c>
      <c r="C13" s="16">
        <v>3</v>
      </c>
      <c r="D13" s="83"/>
      <c r="E13" s="69">
        <v>4.0999999999999996</v>
      </c>
      <c r="F13" s="69">
        <v>4.2</v>
      </c>
      <c r="G13" s="69">
        <v>4.3</v>
      </c>
      <c r="H13" s="69">
        <v>4.4000000000000004</v>
      </c>
      <c r="I13" s="69">
        <v>4.5</v>
      </c>
      <c r="J13" s="69">
        <v>4.5999999999999996</v>
      </c>
      <c r="K13" s="69">
        <v>4.7</v>
      </c>
      <c r="L13" s="69">
        <v>4.8</v>
      </c>
      <c r="M13" s="69">
        <v>4.9000000000000004</v>
      </c>
      <c r="N13" s="17">
        <v>4.0999999999999996</v>
      </c>
      <c r="O13" s="69">
        <v>4.1100000000000003</v>
      </c>
      <c r="P13" s="69">
        <v>4</v>
      </c>
      <c r="Q13" s="16">
        <v>5.0999999999999996</v>
      </c>
      <c r="R13" s="69">
        <v>5.2</v>
      </c>
      <c r="S13" s="69">
        <v>5.3</v>
      </c>
      <c r="T13" s="69">
        <v>5.4</v>
      </c>
      <c r="U13" s="69">
        <v>5</v>
      </c>
      <c r="V13" s="69" t="s">
        <v>60</v>
      </c>
      <c r="W13" s="69">
        <v>7.1</v>
      </c>
      <c r="X13" s="69">
        <v>7.2</v>
      </c>
      <c r="Y13" s="69">
        <v>7.3</v>
      </c>
      <c r="Z13" s="69">
        <v>7</v>
      </c>
      <c r="AA13" s="69">
        <v>8.1</v>
      </c>
      <c r="AB13" s="69">
        <v>8.1999999999999993</v>
      </c>
      <c r="AC13" s="69">
        <v>8.3000000000000007</v>
      </c>
      <c r="AD13" s="69">
        <v>8.4</v>
      </c>
      <c r="AE13" s="69">
        <v>8</v>
      </c>
      <c r="AF13" s="69" t="s">
        <v>61</v>
      </c>
      <c r="AG13" s="69">
        <v>10.1</v>
      </c>
      <c r="AH13" s="69">
        <v>10.199999999999999</v>
      </c>
      <c r="AI13" s="69">
        <v>10.3</v>
      </c>
      <c r="AJ13" s="69">
        <v>10.4</v>
      </c>
      <c r="AK13" s="69">
        <v>10.5</v>
      </c>
      <c r="AL13" s="69">
        <v>10.6</v>
      </c>
      <c r="AM13" s="69">
        <v>10.7</v>
      </c>
      <c r="AN13" s="69">
        <v>10.8</v>
      </c>
      <c r="AO13" s="69">
        <v>10.9</v>
      </c>
      <c r="AP13" s="17">
        <v>10.1</v>
      </c>
      <c r="AQ13" s="69">
        <v>10</v>
      </c>
      <c r="AR13" s="68">
        <v>11.1</v>
      </c>
      <c r="AS13" s="68">
        <v>11.2</v>
      </c>
      <c r="AT13" s="68" t="s">
        <v>62</v>
      </c>
      <c r="AU13" s="19" t="s">
        <v>63</v>
      </c>
    </row>
    <row r="14" spans="1:47" ht="15" customHeight="1" thickTop="1" thickBot="1" x14ac:dyDescent="0.25">
      <c r="A14" s="20" t="s">
        <v>64</v>
      </c>
      <c r="B14" s="21"/>
      <c r="C14" s="22"/>
      <c r="D14" s="23"/>
      <c r="E14" s="23"/>
      <c r="F14" s="23"/>
      <c r="G14" s="23"/>
      <c r="H14" s="23"/>
      <c r="I14" s="24"/>
      <c r="J14" s="24"/>
      <c r="K14" s="24"/>
      <c r="L14" s="25"/>
      <c r="M14" s="23"/>
      <c r="N14" s="23"/>
      <c r="O14" s="23"/>
      <c r="P14" s="23"/>
      <c r="Q14" s="23"/>
      <c r="R14" s="23"/>
      <c r="S14" s="24"/>
      <c r="T14" s="24"/>
      <c r="U14" s="25"/>
      <c r="V14" s="24"/>
      <c r="W14" s="24"/>
      <c r="X14" s="25"/>
      <c r="Y14" s="23"/>
      <c r="Z14" s="23"/>
      <c r="AA14" s="23"/>
      <c r="AB14" s="23"/>
      <c r="AC14" s="23"/>
      <c r="AD14" s="23"/>
      <c r="AE14" s="23"/>
      <c r="AF14" s="23"/>
      <c r="AG14" s="23"/>
      <c r="AH14" s="23"/>
      <c r="AI14" s="23"/>
      <c r="AJ14" s="23"/>
      <c r="AK14" s="23"/>
      <c r="AL14" s="23"/>
      <c r="AM14" s="24"/>
      <c r="AN14" s="24"/>
      <c r="AO14" s="25"/>
      <c r="AP14" s="24"/>
      <c r="AQ14" s="25"/>
      <c r="AR14" s="26"/>
      <c r="AS14" s="26"/>
      <c r="AT14" s="26"/>
      <c r="AU14" s="25"/>
    </row>
    <row r="15" spans="1:47" ht="15" customHeight="1" thickTop="1" thickBot="1" x14ac:dyDescent="0.25">
      <c r="A15" s="60" t="s">
        <v>65</v>
      </c>
      <c r="B15" s="60"/>
      <c r="C15" s="64">
        <f t="shared" ref="C15:AU15" si="0">SUM(C16:C23)</f>
        <v>17</v>
      </c>
      <c r="D15" s="61">
        <f t="shared" si="0"/>
        <v>59297387.762945011</v>
      </c>
      <c r="E15" s="61">
        <f t="shared" si="0"/>
        <v>1482161309.0911322</v>
      </c>
      <c r="F15" s="61">
        <f t="shared" si="0"/>
        <v>193965252</v>
      </c>
      <c r="G15" s="61">
        <f>SUM(G16:G23)</f>
        <v>884734054.34413803</v>
      </c>
      <c r="H15" s="61">
        <f t="shared" si="0"/>
        <v>0</v>
      </c>
      <c r="I15" s="61">
        <f t="shared" si="0"/>
        <v>0</v>
      </c>
      <c r="J15" s="61">
        <f t="shared" si="0"/>
        <v>78407801.838159546</v>
      </c>
      <c r="K15" s="61">
        <f t="shared" si="0"/>
        <v>52216148.818734765</v>
      </c>
      <c r="L15" s="61">
        <f t="shared" si="0"/>
        <v>0</v>
      </c>
      <c r="M15" s="61">
        <f t="shared" si="0"/>
        <v>506161724.54384291</v>
      </c>
      <c r="N15" s="61">
        <f t="shared" si="0"/>
        <v>227301692.38414034</v>
      </c>
      <c r="O15" s="61">
        <f t="shared" si="0"/>
        <v>0</v>
      </c>
      <c r="P15" s="61">
        <f t="shared" si="0"/>
        <v>3424947983.0201468</v>
      </c>
      <c r="Q15" s="61">
        <f t="shared" si="0"/>
        <v>0</v>
      </c>
      <c r="R15" s="61">
        <f t="shared" si="0"/>
        <v>0</v>
      </c>
      <c r="S15" s="61">
        <f t="shared" si="0"/>
        <v>0</v>
      </c>
      <c r="T15" s="61">
        <f t="shared" si="0"/>
        <v>0</v>
      </c>
      <c r="U15" s="61">
        <f t="shared" si="0"/>
        <v>0</v>
      </c>
      <c r="V15" s="61">
        <f>SUM(V16:V23)</f>
        <v>3424947983.0201468</v>
      </c>
      <c r="W15" s="61">
        <f t="shared" si="0"/>
        <v>174264630.82784101</v>
      </c>
      <c r="X15" s="61">
        <f t="shared" si="0"/>
        <v>20000000</v>
      </c>
      <c r="Y15" s="61">
        <f t="shared" si="0"/>
        <v>10067823.854937132</v>
      </c>
      <c r="Z15" s="61">
        <f t="shared" si="0"/>
        <v>204332454.68277812</v>
      </c>
      <c r="AA15" s="61">
        <f t="shared" si="0"/>
        <v>0</v>
      </c>
      <c r="AB15" s="61">
        <f t="shared" si="0"/>
        <v>0</v>
      </c>
      <c r="AC15" s="61">
        <f t="shared" si="0"/>
        <v>0</v>
      </c>
      <c r="AD15" s="61">
        <f t="shared" si="0"/>
        <v>0</v>
      </c>
      <c r="AE15" s="61">
        <f t="shared" si="0"/>
        <v>0</v>
      </c>
      <c r="AF15" s="61">
        <f t="shared" si="0"/>
        <v>204332454.68277812</v>
      </c>
      <c r="AG15" s="61">
        <f t="shared" si="0"/>
        <v>225441228.85779151</v>
      </c>
      <c r="AH15" s="61">
        <f t="shared" si="0"/>
        <v>159951915.74984545</v>
      </c>
      <c r="AI15" s="61">
        <f t="shared" si="0"/>
        <v>156815603.67631909</v>
      </c>
      <c r="AJ15" s="61">
        <f t="shared" si="0"/>
        <v>68554180.09128736</v>
      </c>
      <c r="AK15" s="61">
        <f t="shared" si="0"/>
        <v>9931562.9485028591</v>
      </c>
      <c r="AL15" s="61">
        <f t="shared" si="0"/>
        <v>51927077.341589816</v>
      </c>
      <c r="AM15" s="61">
        <f t="shared" si="0"/>
        <v>9688839.9476111066</v>
      </c>
      <c r="AN15" s="61">
        <f t="shared" si="0"/>
        <v>9688839.9476111066</v>
      </c>
      <c r="AO15" s="61">
        <f t="shared" si="0"/>
        <v>17832758.626968049</v>
      </c>
      <c r="AP15" s="61">
        <f t="shared" si="0"/>
        <v>0</v>
      </c>
      <c r="AQ15" s="62">
        <f t="shared" si="0"/>
        <v>709832007.18752623</v>
      </c>
      <c r="AR15" s="61">
        <f t="shared" si="0"/>
        <v>6441670.7480914807</v>
      </c>
      <c r="AS15" s="61">
        <f t="shared" si="0"/>
        <v>6075669.6093052858</v>
      </c>
      <c r="AT15" s="63">
        <f t="shared" si="0"/>
        <v>12517340.357396765</v>
      </c>
      <c r="AU15" s="62">
        <f t="shared" si="0"/>
        <v>4339112444.8904524</v>
      </c>
    </row>
    <row r="16" spans="1:47" ht="15" customHeight="1" thickTop="1" x14ac:dyDescent="0.2">
      <c r="A16" s="41" t="s">
        <v>66</v>
      </c>
      <c r="B16" s="28"/>
      <c r="C16" s="29">
        <v>1</v>
      </c>
      <c r="D16" s="40">
        <f>+Vigencia_2021!D16*1.03</f>
        <v>5556044.4998300001</v>
      </c>
      <c r="E16" s="30">
        <f t="shared" ref="E16:E23" si="1">D16*C16*12</f>
        <v>66672533.997960001</v>
      </c>
      <c r="F16" s="30">
        <f>9345782*12</f>
        <v>112149384</v>
      </c>
      <c r="G16" s="30">
        <f>((9345782/2+D16+(D16*20%))*12)</f>
        <v>136081732.79755199</v>
      </c>
      <c r="H16" s="30">
        <f>(IF(D16&gt;=1853502,0,66098))*12</f>
        <v>0</v>
      </c>
      <c r="I16" s="30">
        <f>+(IF(D16&lt;(877803*2),102854,0)*12)</f>
        <v>0</v>
      </c>
      <c r="J16" s="30">
        <f>+(E16+F16+G16+H16+I16+(K16/12))/24</f>
        <v>13152876.733892405</v>
      </c>
      <c r="K16" s="30">
        <f>+IF(D16&lt;1853502,((D16+(F16/12)+(G16/12))*0.5),((D16+(F16/12)+(G16/12))*0.35))</f>
        <v>9184689.8148691002</v>
      </c>
      <c r="L16" s="30">
        <v>0</v>
      </c>
      <c r="M16" s="30">
        <f>+(((D16+(F16/12)+(G16/12))+J16/12+K16/12+N16/12)*C16)</f>
        <v>29351972.222762495</v>
      </c>
      <c r="N16" s="30">
        <f>+(D16+F16/12+G16/12)/2+J16/12+K16/12</f>
        <v>14982449.328876458</v>
      </c>
      <c r="O16" s="30"/>
      <c r="P16" s="30">
        <f>SUM(E16:O16)</f>
        <v>381575638.89591235</v>
      </c>
      <c r="Q16" s="30"/>
      <c r="R16" s="30"/>
      <c r="S16" s="30"/>
      <c r="T16" s="30"/>
      <c r="U16" s="30">
        <f t="shared" ref="U16:U23" si="2">SUM(Q16:T16)</f>
        <v>0</v>
      </c>
      <c r="V16" s="30">
        <f>P16+U16</f>
        <v>381575638.89591235</v>
      </c>
      <c r="W16" s="30">
        <f>+(((D16+(F16/12)+(G16/12))/2+(J16/12)+(K16/12))*23/30)*C16</f>
        <v>11486544.485471953</v>
      </c>
      <c r="X16" s="30">
        <v>20000000</v>
      </c>
      <c r="Y16" s="30">
        <f>+((D16+F16/12+G16/12)/30)*2</f>
        <v>1749464.7266417334</v>
      </c>
      <c r="Z16" s="30">
        <f t="shared" ref="Z16:Z23" si="3">SUM(W16:Y16)</f>
        <v>33236009.212113686</v>
      </c>
      <c r="AA16" s="30"/>
      <c r="AB16" s="30"/>
      <c r="AC16" s="30"/>
      <c r="AD16" s="30"/>
      <c r="AE16" s="30">
        <f t="shared" ref="AE16:AE23" si="4">SUM(AA16:AD16)</f>
        <v>0</v>
      </c>
      <c r="AF16" s="30">
        <f>Z16+AE16</f>
        <v>33236009.212113686</v>
      </c>
      <c r="AG16" s="30">
        <f>+(E16+F16+G16+H16+I16+K16/12)*0.12</f>
        <v>37880284.993610129</v>
      </c>
      <c r="AH16" s="30">
        <f>+(E16+F16+G16+H16+I16+K16/12)*0.085</f>
        <v>26831868.537140511</v>
      </c>
      <c r="AI16" s="30">
        <f>(E16+F16+G16+H16+I16+K16/12)/12</f>
        <v>26305753.467784811</v>
      </c>
      <c r="AJ16" s="31">
        <f>+((D16*0.0462528468870403)*C16)*12</f>
        <v>3083794.5065786331</v>
      </c>
      <c r="AK16" s="31">
        <f>+((D16*0.00670073013482786)*C16)*12</f>
        <v>446754.6577254656</v>
      </c>
      <c r="AL16" s="30">
        <f>+(((D16*0.0350347003548701)*C16)*12)</f>
        <v>2335852.2505184179</v>
      </c>
      <c r="AM16" s="31">
        <f>+(((D16*0.00653696725733068)*C16)*12)</f>
        <v>435836.17170793109</v>
      </c>
      <c r="AN16" s="31">
        <f>+(((D16*0.00653696725733068)*C16)*12)</f>
        <v>435836.17170793109</v>
      </c>
      <c r="AO16" s="30">
        <f>+(((D16*0.0120315909729847)*C16)*12)</f>
        <v>802176.65819587104</v>
      </c>
      <c r="AP16" s="30">
        <v>0</v>
      </c>
      <c r="AQ16" s="32">
        <f t="shared" ref="AQ16:AQ23" si="5">SUM(AG16:AP16)</f>
        <v>98558157.414969698</v>
      </c>
      <c r="AR16" s="31">
        <f>+(((D16*0.00434613338546905)*C16)*12)</f>
        <v>289767.72590235423</v>
      </c>
      <c r="AS16" s="31">
        <f>+((D16*0.00409919593234485)*C16)*12</f>
        <v>273303.78016356134</v>
      </c>
      <c r="AT16" s="31">
        <f>SUM(AR16:AS16)</f>
        <v>563071.50606591557</v>
      </c>
      <c r="AU16" s="33">
        <f t="shared" ref="AU16:AU23" si="6">V16+AF16+AQ16</f>
        <v>513369805.52299571</v>
      </c>
    </row>
    <row r="17" spans="1:47" ht="15" customHeight="1" x14ac:dyDescent="0.2">
      <c r="A17" s="41" t="s">
        <v>103</v>
      </c>
      <c r="B17" s="28"/>
      <c r="C17" s="34">
        <v>1</v>
      </c>
      <c r="D17" s="30">
        <f>+Vigencia_2021!D17*1.03</f>
        <v>4053278.4153750003</v>
      </c>
      <c r="E17" s="30">
        <f t="shared" si="1"/>
        <v>48639340.984500006</v>
      </c>
      <c r="F17" s="30">
        <f>6817989*12</f>
        <v>81815868</v>
      </c>
      <c r="G17" s="30">
        <f>((6817989+D17)/2)*12</f>
        <v>65227604.492249995</v>
      </c>
      <c r="H17" s="30">
        <f t="shared" ref="H17:H51" si="7">(IF(D17&gt;=1853502,0,66098))*12</f>
        <v>0</v>
      </c>
      <c r="I17" s="30">
        <f t="shared" ref="I17:I51" si="8">+(IF(D17&lt;(877803*2),102854,0)*12)</f>
        <v>0</v>
      </c>
      <c r="J17" s="30">
        <f>+(E17+F17+G17+H17+I17+(K17/12))/24</f>
        <v>8173267.9760905281</v>
      </c>
      <c r="K17" s="30">
        <f t="shared" ref="K17:K26" si="9">+IF(D17&lt;1853502,((D17+(F17/12)+(G17/12))*0.5),((D17+(F17/12)+(G17/12))*0.35))</f>
        <v>5707415.393071874</v>
      </c>
      <c r="L17" s="30">
        <v>0</v>
      </c>
      <c r="M17" s="30">
        <f t="shared" ref="M17:M22" si="10">+(((D17+(F17/12)+(G17/12))+J17/12+K17/12+N17/12)*C17)</f>
        <v>18239472.585128378</v>
      </c>
      <c r="N17" s="30">
        <f>+(D17+F17/12+G17/12)/2+J17/12+K17/12</f>
        <v>9310174.1756281164</v>
      </c>
      <c r="O17" s="30"/>
      <c r="P17" s="30">
        <f t="shared" ref="P17:P80" si="11">SUM(E17:O17)</f>
        <v>237113143.60666889</v>
      </c>
      <c r="Q17" s="30"/>
      <c r="R17" s="30"/>
      <c r="S17" s="30"/>
      <c r="T17" s="30"/>
      <c r="U17" s="30">
        <f t="shared" si="2"/>
        <v>0</v>
      </c>
      <c r="V17" s="30">
        <f t="shared" ref="V17:V23" si="12">P17+U17</f>
        <v>237113143.60666889</v>
      </c>
      <c r="W17" s="30">
        <f t="shared" ref="W17:W28" si="13">+(((D17+(F17/12)+(G17/12))/2+(J17/12)+(K17/12))*23/30)*C17</f>
        <v>7137800.2013148898</v>
      </c>
      <c r="X17" s="30">
        <v>0</v>
      </c>
      <c r="Y17" s="30">
        <f>+((D17+F17/12)/30)*2</f>
        <v>724751.16102500004</v>
      </c>
      <c r="Z17" s="30">
        <f t="shared" si="3"/>
        <v>7862551.3623398896</v>
      </c>
      <c r="AA17" s="30"/>
      <c r="AB17" s="30"/>
      <c r="AC17" s="30"/>
      <c r="AD17" s="30"/>
      <c r="AE17" s="30">
        <f t="shared" si="4"/>
        <v>0</v>
      </c>
      <c r="AF17" s="30">
        <f t="shared" ref="AF17:AF23" si="14">Z17+AE17</f>
        <v>7862551.3623398896</v>
      </c>
      <c r="AG17" s="30">
        <f>+(E17+F17+G17+H17+I17+K17/12)*0.12</f>
        <v>23539011.771140721</v>
      </c>
      <c r="AH17" s="30">
        <f>+(E17+F17+G17+H17+I17+K17/12)*0.085</f>
        <v>16673466.671224678</v>
      </c>
      <c r="AI17" s="30">
        <f t="shared" ref="AI17" si="15">(E17+F17+G17+H17+I17+K17/12)/12</f>
        <v>16346535.952181056</v>
      </c>
      <c r="AJ17" s="31">
        <f t="shared" ref="AJ17:AJ80" si="16">+((D17*0.0462528468870403)*C17)*12</f>
        <v>2249707.991242623</v>
      </c>
      <c r="AK17" s="31">
        <f t="shared" ref="AK17:AK80" si="17">+((D17*0.00670073013482786)*C17)*12</f>
        <v>325919.09787300695</v>
      </c>
      <c r="AL17" s="30">
        <f t="shared" ref="AL17:AL80" si="18">+(((D17*0.0350347003548701)*C17)*12)</f>
        <v>1704064.7368503101</v>
      </c>
      <c r="AM17" s="31">
        <f t="shared" ref="AM17:AM80" si="19">+(((D17*0.00653696725733068)*C17)*12)</f>
        <v>317953.77943381871</v>
      </c>
      <c r="AN17" s="31">
        <f t="shared" ref="AN17:AN80" si="20">+(((D17*0.00653696725733068)*C17)*12)</f>
        <v>317953.77943381871</v>
      </c>
      <c r="AO17" s="30">
        <f t="shared" ref="AO17:AO80" si="21">+(((D17*0.0120315909729847)*C17)*12)</f>
        <v>585208.65592103498</v>
      </c>
      <c r="AP17" s="30">
        <v>0</v>
      </c>
      <c r="AQ17" s="32">
        <f t="shared" si="5"/>
        <v>62059822.435301073</v>
      </c>
      <c r="AR17" s="31">
        <f t="shared" ref="AR17:AR80" si="22">+(((D17*0.00434613338546905)*C17)*12)</f>
        <v>211393.06369994851</v>
      </c>
      <c r="AS17" s="31">
        <f t="shared" ref="AS17:AS80" si="23">+((D17*0.00409919593234485)*C17)*12</f>
        <v>199382.18871559657</v>
      </c>
      <c r="AT17" s="31">
        <f t="shared" ref="AT17:AT23" si="24">SUM(AR17:AS17)</f>
        <v>410775.25241554505</v>
      </c>
      <c r="AU17" s="33">
        <f t="shared" si="6"/>
        <v>307035517.40430987</v>
      </c>
    </row>
    <row r="18" spans="1:47" ht="15" customHeight="1" x14ac:dyDescent="0.2">
      <c r="A18" s="41" t="s">
        <v>67</v>
      </c>
      <c r="B18" s="35">
        <v>22</v>
      </c>
      <c r="C18" s="34">
        <v>1</v>
      </c>
      <c r="D18" s="30">
        <f>+Vigencia_2021!D18*1.03</f>
        <v>10250995.689176001</v>
      </c>
      <c r="E18" s="30">
        <f t="shared" si="1"/>
        <v>123011948.27011201</v>
      </c>
      <c r="F18" s="30">
        <v>0</v>
      </c>
      <c r="G18" s="30">
        <f t="shared" ref="G18:G23" si="25">+(D18*50%)*C18*12</f>
        <v>61505974.135056004</v>
      </c>
      <c r="H18" s="30">
        <f t="shared" si="7"/>
        <v>0</v>
      </c>
      <c r="I18" s="30">
        <f t="shared" si="8"/>
        <v>0</v>
      </c>
      <c r="J18" s="30">
        <f>+(E18+H18+I18+(K18/12))/24</f>
        <v>5144184.5554797277</v>
      </c>
      <c r="K18" s="30">
        <f t="shared" si="9"/>
        <v>5381772.7368174</v>
      </c>
      <c r="L18" s="30">
        <v>0</v>
      </c>
      <c r="M18" s="30">
        <f>+(((D18+(F18/12)+(G18/12))+J18/12+K18/12+N18/12)*C18)</f>
        <v>16967440.79766988</v>
      </c>
      <c r="N18" s="30">
        <f>+(D18+F18/12+G18/12)/2+J18/12+K18/12</f>
        <v>8565409.8745734282</v>
      </c>
      <c r="O18" s="30"/>
      <c r="P18" s="30">
        <f t="shared" si="11"/>
        <v>220576730.36970845</v>
      </c>
      <c r="Q18" s="30"/>
      <c r="R18" s="30"/>
      <c r="S18" s="30"/>
      <c r="T18" s="30"/>
      <c r="U18" s="30">
        <f t="shared" si="2"/>
        <v>0</v>
      </c>
      <c r="V18" s="30">
        <f t="shared" si="12"/>
        <v>220576730.36970845</v>
      </c>
      <c r="W18" s="30">
        <f t="shared" si="13"/>
        <v>6566814.2371729612</v>
      </c>
      <c r="X18" s="30">
        <v>0</v>
      </c>
      <c r="Y18" s="30">
        <f>+((D18)/30)*2</f>
        <v>683399.71261173335</v>
      </c>
      <c r="Z18" s="30">
        <f t="shared" si="3"/>
        <v>7250213.9497846942</v>
      </c>
      <c r="AA18" s="30"/>
      <c r="AB18" s="30"/>
      <c r="AC18" s="30"/>
      <c r="AD18" s="30"/>
      <c r="AE18" s="30">
        <f t="shared" si="4"/>
        <v>0</v>
      </c>
      <c r="AF18" s="30">
        <f t="shared" si="14"/>
        <v>7250213.9497846942</v>
      </c>
      <c r="AG18" s="30">
        <f>+(((D18+H18/12)*12%)*12)*C18</f>
        <v>14761433.79241344</v>
      </c>
      <c r="AH18" s="30">
        <f>+(E18+H18+I18+K18/12)*0.085</f>
        <v>10494136.493178645</v>
      </c>
      <c r="AI18" s="30">
        <f>(E18+H18+I18+K18/12)/12</f>
        <v>10288369.110959455</v>
      </c>
      <c r="AJ18" s="31">
        <f t="shared" si="16"/>
        <v>5689652.8086140128</v>
      </c>
      <c r="AK18" s="31">
        <f t="shared" si="17"/>
        <v>824269.86871742527</v>
      </c>
      <c r="AL18" s="30">
        <f t="shared" si="18"/>
        <v>4309686.7477121558</v>
      </c>
      <c r="AM18" s="31">
        <f t="shared" si="19"/>
        <v>804125.07810217759</v>
      </c>
      <c r="AN18" s="31">
        <f t="shared" si="20"/>
        <v>804125.07810217759</v>
      </c>
      <c r="AO18" s="30">
        <f t="shared" si="21"/>
        <v>1480029.4463759405</v>
      </c>
      <c r="AP18" s="30">
        <v>0</v>
      </c>
      <c r="AQ18" s="32">
        <f t="shared" si="5"/>
        <v>49455828.424175441</v>
      </c>
      <c r="AR18" s="31">
        <f t="shared" si="22"/>
        <v>534626.33518832561</v>
      </c>
      <c r="AS18" s="31">
        <f t="shared" si="23"/>
        <v>504250.07797865814</v>
      </c>
      <c r="AT18" s="31">
        <f t="shared" si="24"/>
        <v>1038876.4131669838</v>
      </c>
      <c r="AU18" s="33">
        <f t="shared" si="6"/>
        <v>277282772.74366856</v>
      </c>
    </row>
    <row r="19" spans="1:47" ht="15" customHeight="1" x14ac:dyDescent="0.2">
      <c r="A19" s="41" t="s">
        <v>68</v>
      </c>
      <c r="B19" s="35">
        <v>13</v>
      </c>
      <c r="C19" s="34">
        <v>6</v>
      </c>
      <c r="D19" s="30">
        <f>+Vigencia_2021!D19*1.03</f>
        <v>6194746.3756879997</v>
      </c>
      <c r="E19" s="30">
        <f t="shared" si="1"/>
        <v>446021739.04953593</v>
      </c>
      <c r="F19" s="30">
        <v>0</v>
      </c>
      <c r="G19" s="30">
        <f t="shared" si="25"/>
        <v>223010869.52476797</v>
      </c>
      <c r="H19" s="30">
        <f t="shared" si="7"/>
        <v>0</v>
      </c>
      <c r="I19" s="30">
        <f t="shared" si="8"/>
        <v>0</v>
      </c>
      <c r="J19" s="30">
        <f t="shared" ref="J19:J82" si="26">+(E19+H19+I19+(K19/12))/24</f>
        <v>18614352.47750137</v>
      </c>
      <c r="K19" s="30">
        <f t="shared" si="9"/>
        <v>8672644.9259631988</v>
      </c>
      <c r="L19" s="30">
        <v>0</v>
      </c>
      <c r="M19" s="30">
        <f>+(((D19+(F19/12)+(G19/12))+J19/12+K19/12+N19/12)*C19)</f>
        <v>206307639.32323843</v>
      </c>
      <c r="N19" s="30">
        <f t="shared" ref="N19:N28" si="27">+(((D19+(F19/12)+(G19/12))/2+J19/12+K19/12)*C19)</f>
        <v>87980455.209988281</v>
      </c>
      <c r="O19" s="30"/>
      <c r="P19" s="30">
        <f t="shared" si="11"/>
        <v>990607700.51099503</v>
      </c>
      <c r="Q19" s="30"/>
      <c r="R19" s="30"/>
      <c r="S19" s="30"/>
      <c r="T19" s="30"/>
      <c r="U19" s="30">
        <f t="shared" si="2"/>
        <v>0</v>
      </c>
      <c r="V19" s="30">
        <f t="shared" si="12"/>
        <v>990607700.51099503</v>
      </c>
      <c r="W19" s="30">
        <f t="shared" si="13"/>
        <v>67451682.3276577</v>
      </c>
      <c r="X19" s="30">
        <v>0</v>
      </c>
      <c r="Y19" s="30">
        <f>+(((D19)/30)*2)*C19</f>
        <v>2477898.5502752</v>
      </c>
      <c r="Z19" s="30">
        <f t="shared" si="3"/>
        <v>69929580.877932906</v>
      </c>
      <c r="AA19" s="30"/>
      <c r="AB19" s="30"/>
      <c r="AC19" s="30"/>
      <c r="AD19" s="30"/>
      <c r="AE19" s="30">
        <f t="shared" si="4"/>
        <v>0</v>
      </c>
      <c r="AF19" s="30">
        <f t="shared" si="14"/>
        <v>69929580.877932906</v>
      </c>
      <c r="AG19" s="30">
        <f t="shared" ref="AG19:AG82" si="28">+(((D19+H19/12)*12%)*12)*C19</f>
        <v>53522608.685944319</v>
      </c>
      <c r="AH19" s="30">
        <f t="shared" ref="AH19:AH82" si="29">+(E19+H19+I19+K19/12)*0.085</f>
        <v>37973279.054102801</v>
      </c>
      <c r="AI19" s="30">
        <f t="shared" ref="AI19:AI82" si="30">(E19+H19+I19+K19/12)/12</f>
        <v>37228704.95500274</v>
      </c>
      <c r="AJ19" s="31">
        <f t="shared" si="16"/>
        <v>20629775.204549633</v>
      </c>
      <c r="AK19" s="31">
        <f t="shared" si="17"/>
        <v>2988671.3076375541</v>
      </c>
      <c r="AL19" s="30">
        <f t="shared" si="18"/>
        <v>15626237.979358558</v>
      </c>
      <c r="AM19" s="31">
        <f t="shared" si="19"/>
        <v>2915629.5042245053</v>
      </c>
      <c r="AN19" s="31">
        <f t="shared" si="20"/>
        <v>2915629.5042245053</v>
      </c>
      <c r="AO19" s="30">
        <f t="shared" si="21"/>
        <v>5366351.1293033343</v>
      </c>
      <c r="AP19" s="30">
        <v>0</v>
      </c>
      <c r="AQ19" s="32">
        <f t="shared" si="5"/>
        <v>179166887.32434794</v>
      </c>
      <c r="AR19" s="31">
        <f t="shared" si="22"/>
        <v>1938469.9707281529</v>
      </c>
      <c r="AS19" s="31">
        <f t="shared" si="23"/>
        <v>1828330.4984492338</v>
      </c>
      <c r="AT19" s="31">
        <f t="shared" si="24"/>
        <v>3766800.4691773867</v>
      </c>
      <c r="AU19" s="33">
        <f t="shared" si="6"/>
        <v>1239704168.7132759</v>
      </c>
    </row>
    <row r="20" spans="1:47" ht="15" customHeight="1" x14ac:dyDescent="0.2">
      <c r="A20" s="41" t="s">
        <v>69</v>
      </c>
      <c r="B20" s="35">
        <v>19</v>
      </c>
      <c r="C20" s="34">
        <v>5</v>
      </c>
      <c r="D20" s="30">
        <f>+Vigencia_2021!D20*1.03</f>
        <v>8310580.695719</v>
      </c>
      <c r="E20" s="30">
        <f t="shared" si="1"/>
        <v>498634841.74314004</v>
      </c>
      <c r="F20" s="30">
        <v>0</v>
      </c>
      <c r="G20" s="30">
        <f t="shared" si="25"/>
        <v>249317420.87157002</v>
      </c>
      <c r="H20" s="30">
        <f t="shared" si="7"/>
        <v>0</v>
      </c>
      <c r="I20" s="30">
        <f t="shared" si="8"/>
        <v>0</v>
      </c>
      <c r="J20" s="30">
        <f t="shared" si="26"/>
        <v>20811800.563437279</v>
      </c>
      <c r="K20" s="30">
        <f t="shared" si="9"/>
        <v>10180461.352255775</v>
      </c>
      <c r="L20" s="30">
        <v>0</v>
      </c>
      <c r="M20" s="30">
        <f t="shared" si="10"/>
        <v>194028197.78679347</v>
      </c>
      <c r="N20" s="30">
        <f t="shared" si="27"/>
        <v>85631023.552413359</v>
      </c>
      <c r="O20" s="30"/>
      <c r="P20" s="30">
        <f t="shared" si="11"/>
        <v>1058603745.86961</v>
      </c>
      <c r="Q20" s="30"/>
      <c r="R20" s="30"/>
      <c r="S20" s="30"/>
      <c r="T20" s="30"/>
      <c r="U20" s="30">
        <f t="shared" si="2"/>
        <v>0</v>
      </c>
      <c r="V20" s="30">
        <f t="shared" si="12"/>
        <v>1058603745.86961</v>
      </c>
      <c r="W20" s="30">
        <f t="shared" si="13"/>
        <v>65650451.390183575</v>
      </c>
      <c r="X20" s="30">
        <v>0</v>
      </c>
      <c r="Y20" s="30">
        <f t="shared" ref="Y20:Y23" si="31">+(((D20)/30)*2)*C20</f>
        <v>2770193.5652396665</v>
      </c>
      <c r="Z20" s="30">
        <f t="shared" si="3"/>
        <v>68420644.955423236</v>
      </c>
      <c r="AA20" s="30"/>
      <c r="AB20" s="30"/>
      <c r="AC20" s="30"/>
      <c r="AD20" s="30"/>
      <c r="AE20" s="30">
        <f t="shared" si="4"/>
        <v>0</v>
      </c>
      <c r="AF20" s="30">
        <f t="shared" si="14"/>
        <v>68420644.955423236</v>
      </c>
      <c r="AG20" s="30">
        <f t="shared" si="28"/>
        <v>59836181.009176791</v>
      </c>
      <c r="AH20" s="30">
        <f t="shared" si="29"/>
        <v>42456073.149412051</v>
      </c>
      <c r="AI20" s="30">
        <f t="shared" si="30"/>
        <v>41623601.126874559</v>
      </c>
      <c r="AJ20" s="31">
        <f t="shared" si="16"/>
        <v>23063280.987689026</v>
      </c>
      <c r="AK20" s="31">
        <f t="shared" si="17"/>
        <v>3341217.5103433793</v>
      </c>
      <c r="AL20" s="30">
        <f t="shared" si="18"/>
        <v>17469522.266968988</v>
      </c>
      <c r="AM20" s="31">
        <f t="shared" si="19"/>
        <v>3259559.6338391714</v>
      </c>
      <c r="AN20" s="31">
        <f t="shared" si="20"/>
        <v>3259559.6338391714</v>
      </c>
      <c r="AO20" s="30">
        <f t="shared" si="21"/>
        <v>5999370.4607324172</v>
      </c>
      <c r="AP20" s="30">
        <v>0</v>
      </c>
      <c r="AQ20" s="32">
        <f t="shared" si="5"/>
        <v>200308365.77887553</v>
      </c>
      <c r="AR20" s="31">
        <f t="shared" si="22"/>
        <v>2167133.5328579373</v>
      </c>
      <c r="AS20" s="31">
        <f t="shared" si="23"/>
        <v>2044001.9149988971</v>
      </c>
      <c r="AT20" s="31">
        <f t="shared" si="24"/>
        <v>4211135.4478568342</v>
      </c>
      <c r="AU20" s="33">
        <f t="shared" si="6"/>
        <v>1327332756.6039088</v>
      </c>
    </row>
    <row r="21" spans="1:47" ht="15" customHeight="1" x14ac:dyDescent="0.2">
      <c r="A21" s="41" t="s">
        <v>70</v>
      </c>
      <c r="B21" s="35">
        <v>19</v>
      </c>
      <c r="C21" s="34">
        <v>1</v>
      </c>
      <c r="D21" s="30">
        <f>+Vigencia_2021!D21*1.03</f>
        <v>8310580.695719</v>
      </c>
      <c r="E21" s="30">
        <f t="shared" si="1"/>
        <v>99726968.348627999</v>
      </c>
      <c r="F21" s="30">
        <v>0</v>
      </c>
      <c r="G21" s="30">
        <f t="shared" si="25"/>
        <v>49863484.174314</v>
      </c>
      <c r="H21" s="30">
        <f t="shared" si="7"/>
        <v>0</v>
      </c>
      <c r="I21" s="30">
        <f t="shared" si="8"/>
        <v>0</v>
      </c>
      <c r="J21" s="30">
        <f t="shared" si="26"/>
        <v>4170439.8439194043</v>
      </c>
      <c r="K21" s="30">
        <f t="shared" si="9"/>
        <v>4363054.8652524743</v>
      </c>
      <c r="L21" s="30">
        <v>0</v>
      </c>
      <c r="M21" s="30">
        <f t="shared" si="10"/>
        <v>13755667.276083399</v>
      </c>
      <c r="N21" s="30">
        <f t="shared" si="27"/>
        <v>6944060.080886906</v>
      </c>
      <c r="O21" s="30"/>
      <c r="P21" s="30">
        <f t="shared" si="11"/>
        <v>178823674.58908418</v>
      </c>
      <c r="Q21" s="30"/>
      <c r="R21" s="30"/>
      <c r="S21" s="30"/>
      <c r="T21" s="30"/>
      <c r="U21" s="30">
        <f t="shared" si="2"/>
        <v>0</v>
      </c>
      <c r="V21" s="30">
        <f t="shared" si="12"/>
        <v>178823674.58908418</v>
      </c>
      <c r="W21" s="30">
        <f t="shared" si="13"/>
        <v>5323779.3953466276</v>
      </c>
      <c r="X21" s="30">
        <v>0</v>
      </c>
      <c r="Y21" s="30">
        <f t="shared" si="31"/>
        <v>554038.7130479333</v>
      </c>
      <c r="Z21" s="30">
        <f t="shared" si="3"/>
        <v>5877818.1083945613</v>
      </c>
      <c r="AA21" s="30"/>
      <c r="AB21" s="30"/>
      <c r="AC21" s="30"/>
      <c r="AD21" s="30"/>
      <c r="AE21" s="30">
        <f t="shared" si="4"/>
        <v>0</v>
      </c>
      <c r="AF21" s="30">
        <f t="shared" si="14"/>
        <v>5877818.1083945613</v>
      </c>
      <c r="AG21" s="30">
        <f t="shared" si="28"/>
        <v>11967236.201835359</v>
      </c>
      <c r="AH21" s="30">
        <f t="shared" si="29"/>
        <v>8507697.2815955859</v>
      </c>
      <c r="AI21" s="30">
        <f t="shared" si="30"/>
        <v>8340879.6878388086</v>
      </c>
      <c r="AJ21" s="31">
        <f t="shared" si="16"/>
        <v>4612656.1975378059</v>
      </c>
      <c r="AK21" s="31">
        <f t="shared" si="17"/>
        <v>668243.50206867582</v>
      </c>
      <c r="AL21" s="30">
        <f t="shared" si="18"/>
        <v>3493904.4533937969</v>
      </c>
      <c r="AM21" s="31">
        <f t="shared" si="19"/>
        <v>651911.92676783423</v>
      </c>
      <c r="AN21" s="31">
        <f t="shared" si="20"/>
        <v>651911.92676783423</v>
      </c>
      <c r="AO21" s="30">
        <f t="shared" si="21"/>
        <v>1199874.0921464835</v>
      </c>
      <c r="AP21" s="30">
        <v>0</v>
      </c>
      <c r="AQ21" s="32">
        <f t="shared" si="5"/>
        <v>40094315.269952178</v>
      </c>
      <c r="AR21" s="31">
        <f t="shared" si="22"/>
        <v>433426.70657158748</v>
      </c>
      <c r="AS21" s="31">
        <f t="shared" si="23"/>
        <v>408800.38299977942</v>
      </c>
      <c r="AT21" s="31">
        <f t="shared" si="24"/>
        <v>842227.0895713669</v>
      </c>
      <c r="AU21" s="33">
        <f t="shared" si="6"/>
        <v>224795807.96743092</v>
      </c>
    </row>
    <row r="22" spans="1:47" ht="15" customHeight="1" x14ac:dyDescent="0.2">
      <c r="A22" s="41" t="s">
        <v>71</v>
      </c>
      <c r="B22" s="35">
        <v>19</v>
      </c>
      <c r="C22" s="34">
        <v>1</v>
      </c>
      <c r="D22" s="30">
        <f>+Vigencia_2021!D22*1.03</f>
        <v>8310580.695719</v>
      </c>
      <c r="E22" s="30">
        <f t="shared" si="1"/>
        <v>99726968.348627999</v>
      </c>
      <c r="F22" s="30">
        <v>0</v>
      </c>
      <c r="G22" s="30">
        <f t="shared" si="25"/>
        <v>49863484.174314</v>
      </c>
      <c r="H22" s="30">
        <f t="shared" si="7"/>
        <v>0</v>
      </c>
      <c r="I22" s="30">
        <f t="shared" si="8"/>
        <v>0</v>
      </c>
      <c r="J22" s="30">
        <f t="shared" si="26"/>
        <v>4170439.8439194043</v>
      </c>
      <c r="K22" s="30">
        <f t="shared" si="9"/>
        <v>4363054.8652524743</v>
      </c>
      <c r="L22" s="30">
        <v>0</v>
      </c>
      <c r="M22" s="30">
        <f t="shared" si="10"/>
        <v>13755667.276083399</v>
      </c>
      <c r="N22" s="30">
        <f t="shared" si="27"/>
        <v>6944060.080886906</v>
      </c>
      <c r="O22" s="30"/>
      <c r="P22" s="30">
        <f t="shared" si="11"/>
        <v>178823674.58908418</v>
      </c>
      <c r="Q22" s="30"/>
      <c r="R22" s="30"/>
      <c r="S22" s="30"/>
      <c r="T22" s="30"/>
      <c r="U22" s="30">
        <f t="shared" si="2"/>
        <v>0</v>
      </c>
      <c r="V22" s="30">
        <f t="shared" si="12"/>
        <v>178823674.58908418</v>
      </c>
      <c r="W22" s="30">
        <f t="shared" si="13"/>
        <v>5323779.3953466276</v>
      </c>
      <c r="X22" s="30">
        <v>0</v>
      </c>
      <c r="Y22" s="30">
        <f t="shared" si="31"/>
        <v>554038.7130479333</v>
      </c>
      <c r="Z22" s="30">
        <f t="shared" si="3"/>
        <v>5877818.1083945613</v>
      </c>
      <c r="AA22" s="30"/>
      <c r="AB22" s="30"/>
      <c r="AC22" s="30"/>
      <c r="AD22" s="30"/>
      <c r="AE22" s="30">
        <f t="shared" si="4"/>
        <v>0</v>
      </c>
      <c r="AF22" s="30">
        <f t="shared" si="14"/>
        <v>5877818.1083945613</v>
      </c>
      <c r="AG22" s="30">
        <f t="shared" si="28"/>
        <v>11967236.201835359</v>
      </c>
      <c r="AH22" s="30">
        <f t="shared" si="29"/>
        <v>8507697.2815955859</v>
      </c>
      <c r="AI22" s="30">
        <f t="shared" si="30"/>
        <v>8340879.6878388086</v>
      </c>
      <c r="AJ22" s="31">
        <f t="shared" si="16"/>
        <v>4612656.1975378059</v>
      </c>
      <c r="AK22" s="31">
        <f t="shared" si="17"/>
        <v>668243.50206867582</v>
      </c>
      <c r="AL22" s="30">
        <f t="shared" si="18"/>
        <v>3493904.4533937969</v>
      </c>
      <c r="AM22" s="31">
        <f t="shared" si="19"/>
        <v>651911.92676783423</v>
      </c>
      <c r="AN22" s="31">
        <f t="shared" si="20"/>
        <v>651911.92676783423</v>
      </c>
      <c r="AO22" s="30">
        <f t="shared" si="21"/>
        <v>1199874.0921464835</v>
      </c>
      <c r="AP22" s="30">
        <v>0</v>
      </c>
      <c r="AQ22" s="32">
        <f t="shared" si="5"/>
        <v>40094315.269952178</v>
      </c>
      <c r="AR22" s="31">
        <f t="shared" si="22"/>
        <v>433426.70657158748</v>
      </c>
      <c r="AS22" s="31">
        <f t="shared" si="23"/>
        <v>408800.38299977942</v>
      </c>
      <c r="AT22" s="31">
        <f t="shared" si="24"/>
        <v>842227.0895713669</v>
      </c>
      <c r="AU22" s="33">
        <f t="shared" si="6"/>
        <v>224795807.96743092</v>
      </c>
    </row>
    <row r="23" spans="1:47" ht="15" customHeight="1" thickBot="1" x14ac:dyDescent="0.25">
      <c r="A23" s="41" t="s">
        <v>72</v>
      </c>
      <c r="B23" s="35">
        <v>19</v>
      </c>
      <c r="C23" s="37">
        <v>1</v>
      </c>
      <c r="D23" s="30">
        <f>+Vigencia_2021!D23*1.03</f>
        <v>8310580.695719</v>
      </c>
      <c r="E23" s="30">
        <f t="shared" si="1"/>
        <v>99726968.348627999</v>
      </c>
      <c r="F23" s="30">
        <v>0</v>
      </c>
      <c r="G23" s="30">
        <f t="shared" si="25"/>
        <v>49863484.174314</v>
      </c>
      <c r="H23" s="30">
        <f t="shared" si="7"/>
        <v>0</v>
      </c>
      <c r="I23" s="30">
        <f t="shared" si="8"/>
        <v>0</v>
      </c>
      <c r="J23" s="30">
        <f t="shared" si="26"/>
        <v>4170439.8439194043</v>
      </c>
      <c r="K23" s="30">
        <f t="shared" si="9"/>
        <v>4363054.8652524743</v>
      </c>
      <c r="L23" s="30">
        <v>0</v>
      </c>
      <c r="M23" s="30">
        <f>+(((D23+(F23/12)+(G23/12))+J23/12+K23/12+N23/12))</f>
        <v>13755667.276083399</v>
      </c>
      <c r="N23" s="30">
        <f t="shared" si="27"/>
        <v>6944060.080886906</v>
      </c>
      <c r="O23" s="30"/>
      <c r="P23" s="30">
        <f t="shared" si="11"/>
        <v>178823674.58908418</v>
      </c>
      <c r="Q23" s="30"/>
      <c r="R23" s="30"/>
      <c r="S23" s="30"/>
      <c r="T23" s="30"/>
      <c r="U23" s="30">
        <f t="shared" si="2"/>
        <v>0</v>
      </c>
      <c r="V23" s="30">
        <f t="shared" si="12"/>
        <v>178823674.58908418</v>
      </c>
      <c r="W23" s="30">
        <f t="shared" si="13"/>
        <v>5323779.3953466276</v>
      </c>
      <c r="X23" s="30">
        <v>0</v>
      </c>
      <c r="Y23" s="30">
        <f t="shared" si="31"/>
        <v>554038.7130479333</v>
      </c>
      <c r="Z23" s="30">
        <f t="shared" si="3"/>
        <v>5877818.1083945613</v>
      </c>
      <c r="AA23" s="30"/>
      <c r="AB23" s="30"/>
      <c r="AC23" s="30"/>
      <c r="AD23" s="30"/>
      <c r="AE23" s="30">
        <f t="shared" si="4"/>
        <v>0</v>
      </c>
      <c r="AF23" s="30">
        <f t="shared" si="14"/>
        <v>5877818.1083945613</v>
      </c>
      <c r="AG23" s="30">
        <f t="shared" si="28"/>
        <v>11967236.201835359</v>
      </c>
      <c r="AH23" s="30">
        <f t="shared" si="29"/>
        <v>8507697.2815955859</v>
      </c>
      <c r="AI23" s="30">
        <f t="shared" si="30"/>
        <v>8340879.6878388086</v>
      </c>
      <c r="AJ23" s="31">
        <f t="shared" si="16"/>
        <v>4612656.1975378059</v>
      </c>
      <c r="AK23" s="31">
        <f t="shared" si="17"/>
        <v>668243.50206867582</v>
      </c>
      <c r="AL23" s="30">
        <f t="shared" si="18"/>
        <v>3493904.4533937969</v>
      </c>
      <c r="AM23" s="31">
        <f t="shared" si="19"/>
        <v>651911.92676783423</v>
      </c>
      <c r="AN23" s="31">
        <f t="shared" si="20"/>
        <v>651911.92676783423</v>
      </c>
      <c r="AO23" s="30">
        <f t="shared" si="21"/>
        <v>1199874.0921464835</v>
      </c>
      <c r="AP23" s="30">
        <v>0</v>
      </c>
      <c r="AQ23" s="32">
        <f t="shared" si="5"/>
        <v>40094315.269952178</v>
      </c>
      <c r="AR23" s="31">
        <f t="shared" si="22"/>
        <v>433426.70657158748</v>
      </c>
      <c r="AS23" s="31">
        <f t="shared" si="23"/>
        <v>408800.38299977942</v>
      </c>
      <c r="AT23" s="31">
        <f t="shared" si="24"/>
        <v>842227.0895713669</v>
      </c>
      <c r="AU23" s="33">
        <f t="shared" si="6"/>
        <v>224795807.96743092</v>
      </c>
    </row>
    <row r="24" spans="1:47" ht="15" customHeight="1" thickTop="1" thickBot="1" x14ac:dyDescent="0.25">
      <c r="A24" s="27" t="s">
        <v>73</v>
      </c>
      <c r="B24" s="39"/>
      <c r="C24" s="64">
        <f t="shared" ref="C24:AU24" si="32">SUM(C25:C28)</f>
        <v>39</v>
      </c>
      <c r="D24" s="61">
        <f t="shared" si="32"/>
        <v>32292810.413394</v>
      </c>
      <c r="E24" s="61">
        <f t="shared" si="32"/>
        <v>3343496400.042912</v>
      </c>
      <c r="F24" s="61">
        <f t="shared" si="32"/>
        <v>0</v>
      </c>
      <c r="G24" s="61">
        <f>SUM(G25:G28)</f>
        <v>1113316368.994668</v>
      </c>
      <c r="H24" s="61">
        <f t="shared" si="32"/>
        <v>0</v>
      </c>
      <c r="I24" s="61">
        <f t="shared" si="32"/>
        <v>0</v>
      </c>
      <c r="J24" s="61">
        <f t="shared" si="32"/>
        <v>141624127.99752516</v>
      </c>
      <c r="K24" s="61">
        <f t="shared" si="32"/>
        <v>665792062.77229929</v>
      </c>
      <c r="L24" s="61">
        <f t="shared" si="32"/>
        <v>0</v>
      </c>
      <c r="M24" s="61">
        <f t="shared" si="32"/>
        <v>557287534.96874642</v>
      </c>
      <c r="N24" s="61">
        <f t="shared" si="32"/>
        <v>2433358492.9586439</v>
      </c>
      <c r="O24" s="61">
        <f t="shared" si="32"/>
        <v>0</v>
      </c>
      <c r="P24" s="61">
        <f t="shared" si="32"/>
        <v>8254874987.7347946</v>
      </c>
      <c r="Q24" s="61">
        <f t="shared" si="32"/>
        <v>0</v>
      </c>
      <c r="R24" s="61">
        <f t="shared" si="32"/>
        <v>0</v>
      </c>
      <c r="S24" s="61">
        <f t="shared" si="32"/>
        <v>0</v>
      </c>
      <c r="T24" s="61">
        <f t="shared" si="32"/>
        <v>0</v>
      </c>
      <c r="U24" s="61">
        <f t="shared" si="32"/>
        <v>0</v>
      </c>
      <c r="V24" s="61">
        <f>SUM(V25:V28)</f>
        <v>8254874987.7347946</v>
      </c>
      <c r="W24" s="61">
        <f t="shared" si="32"/>
        <v>1865574844.6016269</v>
      </c>
      <c r="X24" s="61">
        <f t="shared" si="32"/>
        <v>20000000</v>
      </c>
      <c r="Y24" s="61">
        <f t="shared" si="32"/>
        <v>18574980.0002384</v>
      </c>
      <c r="Z24" s="61">
        <f t="shared" si="32"/>
        <v>1904149824.6018653</v>
      </c>
      <c r="AA24" s="61">
        <f t="shared" si="32"/>
        <v>0</v>
      </c>
      <c r="AB24" s="61">
        <f t="shared" si="32"/>
        <v>0</v>
      </c>
      <c r="AC24" s="61">
        <f t="shared" si="32"/>
        <v>0</v>
      </c>
      <c r="AD24" s="61">
        <f t="shared" si="32"/>
        <v>0</v>
      </c>
      <c r="AE24" s="61">
        <f t="shared" si="32"/>
        <v>0</v>
      </c>
      <c r="AF24" s="61">
        <f t="shared" si="32"/>
        <v>12162595.108118853</v>
      </c>
      <c r="AG24" s="61">
        <f t="shared" si="32"/>
        <v>401219568.00514942</v>
      </c>
      <c r="AH24" s="61">
        <f t="shared" si="32"/>
        <v>288913221.11495131</v>
      </c>
      <c r="AI24" s="61">
        <f t="shared" si="32"/>
        <v>283248255.99505031</v>
      </c>
      <c r="AJ24" s="61">
        <f t="shared" si="32"/>
        <v>154646227.05855525</v>
      </c>
      <c r="AK24" s="61">
        <f t="shared" si="32"/>
        <v>22403867.08345601</v>
      </c>
      <c r="AL24" s="61">
        <f t="shared" si="32"/>
        <v>117138394.51309031</v>
      </c>
      <c r="AM24" s="61">
        <f t="shared" si="32"/>
        <v>21856326.492083512</v>
      </c>
      <c r="AN24" s="61">
        <f t="shared" si="32"/>
        <v>21856326.492083512</v>
      </c>
      <c r="AO24" s="61">
        <f t="shared" si="32"/>
        <v>40227581.104963139</v>
      </c>
      <c r="AP24" s="61">
        <f t="shared" si="32"/>
        <v>0</v>
      </c>
      <c r="AQ24" s="62">
        <f t="shared" si="32"/>
        <v>1351509767.8593829</v>
      </c>
      <c r="AR24" s="61">
        <f t="shared" si="32"/>
        <v>14531281.328422083</v>
      </c>
      <c r="AS24" s="61">
        <f t="shared" si="32"/>
        <v>13705646.842865555</v>
      </c>
      <c r="AT24" s="63">
        <f t="shared" si="32"/>
        <v>28236928.171287633</v>
      </c>
      <c r="AU24" s="62">
        <f t="shared" si="32"/>
        <v>9618547350.7022972</v>
      </c>
    </row>
    <row r="25" spans="1:47" ht="15" customHeight="1" thickTop="1" x14ac:dyDescent="0.2">
      <c r="A25" s="41" t="s">
        <v>74</v>
      </c>
      <c r="B25" s="35">
        <v>13</v>
      </c>
      <c r="C25" s="29">
        <v>1</v>
      </c>
      <c r="D25" s="30">
        <f>+Vigencia_2021!D25*1.03</f>
        <v>8598277.9877979998</v>
      </c>
      <c r="E25" s="30">
        <f t="shared" ref="E25:E28" si="33">D25*C25*12</f>
        <v>103179335.853576</v>
      </c>
      <c r="F25" s="30">
        <v>0</v>
      </c>
      <c r="G25" s="30">
        <f t="shared" ref="G25:G26" si="34">+(D25*50%)*C25*12</f>
        <v>51589667.926788002</v>
      </c>
      <c r="H25" s="30">
        <f t="shared" si="7"/>
        <v>0</v>
      </c>
      <c r="I25" s="30">
        <f t="shared" si="8"/>
        <v>0</v>
      </c>
      <c r="J25" s="30">
        <f t="shared" ref="J25:J26" si="35">+(E25+H25+I25+(K25/12))/24</f>
        <v>4314812.9381475905</v>
      </c>
      <c r="K25" s="30">
        <f t="shared" si="9"/>
        <v>4514095.94359395</v>
      </c>
      <c r="L25" s="30">
        <v>0</v>
      </c>
      <c r="M25" s="30">
        <f>+(((D25+(F25/12)+(G25/12))+J25/12+K25/12+N25/12))</f>
        <v>14231863.629980486</v>
      </c>
      <c r="N25" s="30">
        <f t="shared" ref="N25:N26" si="36">+(((D25+(F25/12)+(G25/12))/2+J25/12+K25/12)*C25)</f>
        <v>7184450.8976602955</v>
      </c>
      <c r="O25" s="30"/>
      <c r="P25" s="30">
        <f t="shared" ref="P25:P26" si="37">SUM(E25:O25)</f>
        <v>185014227.18974632</v>
      </c>
      <c r="Q25" s="30"/>
      <c r="R25" s="30"/>
      <c r="S25" s="30"/>
      <c r="T25" s="30"/>
      <c r="U25" s="30">
        <f t="shared" ref="U25:U26" si="38">SUM(Q25:T25)</f>
        <v>0</v>
      </c>
      <c r="V25" s="30">
        <f t="shared" ref="V25:V28" si="39">P25+U25</f>
        <v>185014227.18974632</v>
      </c>
      <c r="W25" s="30">
        <f t="shared" ref="W25:W26" si="40">+(((D25+(F25/12)+(G25/12))/2+(J25/12)+(K25/12))*23/30)*C25</f>
        <v>5508079.0215395596</v>
      </c>
      <c r="X25" s="30">
        <v>0</v>
      </c>
      <c r="Y25" s="30">
        <f t="shared" ref="Y25:Y26" si="41">+(((D25)/30)*2)*C25</f>
        <v>573218.5325198666</v>
      </c>
      <c r="Z25" s="30">
        <f t="shared" ref="Z25:Z26" si="42">SUM(W25:Y25)</f>
        <v>6081297.5540594263</v>
      </c>
      <c r="AA25" s="30"/>
      <c r="AB25" s="30"/>
      <c r="AC25" s="30"/>
      <c r="AD25" s="30"/>
      <c r="AE25" s="30">
        <f t="shared" ref="AE25:AE26" si="43">SUM(AA25:AD25)</f>
        <v>0</v>
      </c>
      <c r="AF25" s="30">
        <f t="shared" ref="AF25:AF26" si="44">Z25+AE25</f>
        <v>6081297.5540594263</v>
      </c>
      <c r="AG25" s="30">
        <f t="shared" ref="AG25:AG26" si="45">+(((D25+H25/12)*12%)*12)*C25</f>
        <v>12381520.302429119</v>
      </c>
      <c r="AH25" s="30">
        <f t="shared" ref="AH25:AH26" si="46">+(E25+H25+I25+K25/12)*0.085</f>
        <v>8802218.3938210849</v>
      </c>
      <c r="AI25" s="30">
        <f t="shared" ref="AI25:AI26" si="47">(E25+H25+I25+K25/12)/12</f>
        <v>8629625.876295181</v>
      </c>
      <c r="AJ25" s="31">
        <f t="shared" ref="AJ25:AJ26" si="48">+((D25*0.0462528468870403)*C25)*12</f>
        <v>4772338.0231419588</v>
      </c>
      <c r="AK25" s="31">
        <f t="shared" ref="AK25:AK26" si="49">+((D25*0.00670073013482786)*C25)*12</f>
        <v>691376.88504558126</v>
      </c>
      <c r="AL25" s="30">
        <f t="shared" ref="AL25:AL26" si="50">+(((D25*0.0350347003548701)*C25)*12)</f>
        <v>3614857.1144445399</v>
      </c>
      <c r="AM25" s="31">
        <f t="shared" ref="AM25:AM26" si="51">+(((D25*0.00653696725733068)*C25)*12)</f>
        <v>674479.94010795176</v>
      </c>
      <c r="AN25" s="31">
        <f t="shared" ref="AN25:AN26" si="52">+(((D25*0.00653696725733068)*C25)*12)</f>
        <v>674479.94010795176</v>
      </c>
      <c r="AO25" s="30">
        <f t="shared" ref="AO25:AO26" si="53">+(((D25*0.0120315909729847)*C25)*12)</f>
        <v>1241411.5658544416</v>
      </c>
      <c r="AP25" s="30">
        <v>0</v>
      </c>
      <c r="AQ25" s="32">
        <f t="shared" ref="AQ25:AQ26" si="54">SUM(AG25:AP25)</f>
        <v>41482308.041247807</v>
      </c>
      <c r="AR25" s="31">
        <f t="shared" ref="AR25:AR26" si="55">+(((D25*0.00434613338546905)*C25)*12)</f>
        <v>448431.15624375036</v>
      </c>
      <c r="AS25" s="31">
        <f t="shared" ref="AS25:AS26" si="56">+((D25*0.00409919593234485)*C25)*12</f>
        <v>422952.31383302191</v>
      </c>
      <c r="AT25" s="31">
        <f t="shared" ref="AT25:AT26" si="57">SUM(AR25:AS25)</f>
        <v>871383.47007677227</v>
      </c>
      <c r="AU25" s="33">
        <f t="shared" ref="AU25:AU28" si="58">V25+AF25+AQ25</f>
        <v>232577832.78505355</v>
      </c>
    </row>
    <row r="26" spans="1:47" ht="15" customHeight="1" x14ac:dyDescent="0.2">
      <c r="A26" s="41" t="s">
        <v>75</v>
      </c>
      <c r="B26" s="35">
        <v>13</v>
      </c>
      <c r="C26" s="34">
        <v>1</v>
      </c>
      <c r="D26" s="30">
        <f>+Vigencia_2021!D26*1.03</f>
        <v>8598277.9877979998</v>
      </c>
      <c r="E26" s="30">
        <f t="shared" si="33"/>
        <v>103179335.853576</v>
      </c>
      <c r="F26" s="30">
        <v>0</v>
      </c>
      <c r="G26" s="30">
        <f t="shared" si="34"/>
        <v>51589667.926788002</v>
      </c>
      <c r="H26" s="30">
        <f t="shared" si="7"/>
        <v>0</v>
      </c>
      <c r="I26" s="30">
        <f t="shared" si="8"/>
        <v>0</v>
      </c>
      <c r="J26" s="30">
        <f t="shared" si="35"/>
        <v>4314812.9381475905</v>
      </c>
      <c r="K26" s="30">
        <f t="shared" si="9"/>
        <v>4514095.94359395</v>
      </c>
      <c r="L26" s="30">
        <v>0</v>
      </c>
      <c r="M26" s="30">
        <f>+(((D26+(F26/12)+(G26/12))+J26/12+K26/12+N26/12))</f>
        <v>14231863.629980486</v>
      </c>
      <c r="N26" s="30">
        <f t="shared" si="36"/>
        <v>7184450.8976602955</v>
      </c>
      <c r="O26" s="30"/>
      <c r="P26" s="30">
        <f t="shared" si="37"/>
        <v>185014227.18974632</v>
      </c>
      <c r="Q26" s="30"/>
      <c r="R26" s="30"/>
      <c r="S26" s="30"/>
      <c r="T26" s="30"/>
      <c r="U26" s="30">
        <f t="shared" si="38"/>
        <v>0</v>
      </c>
      <c r="V26" s="30">
        <f t="shared" si="39"/>
        <v>185014227.18974632</v>
      </c>
      <c r="W26" s="30">
        <f t="shared" si="40"/>
        <v>5508079.0215395596</v>
      </c>
      <c r="X26" s="30">
        <v>0</v>
      </c>
      <c r="Y26" s="30">
        <f t="shared" si="41"/>
        <v>573218.5325198666</v>
      </c>
      <c r="Z26" s="30">
        <f t="shared" si="42"/>
        <v>6081297.5540594263</v>
      </c>
      <c r="AA26" s="30"/>
      <c r="AB26" s="30"/>
      <c r="AC26" s="30"/>
      <c r="AD26" s="30"/>
      <c r="AE26" s="30">
        <f t="shared" si="43"/>
        <v>0</v>
      </c>
      <c r="AF26" s="30">
        <f t="shared" si="44"/>
        <v>6081297.5540594263</v>
      </c>
      <c r="AG26" s="30">
        <f t="shared" si="45"/>
        <v>12381520.302429119</v>
      </c>
      <c r="AH26" s="30">
        <f t="shared" si="46"/>
        <v>8802218.3938210849</v>
      </c>
      <c r="AI26" s="30">
        <f t="shared" si="47"/>
        <v>8629625.876295181</v>
      </c>
      <c r="AJ26" s="31">
        <f t="shared" si="48"/>
        <v>4772338.0231419588</v>
      </c>
      <c r="AK26" s="31">
        <f t="shared" si="49"/>
        <v>691376.88504558126</v>
      </c>
      <c r="AL26" s="30">
        <f t="shared" si="50"/>
        <v>3614857.1144445399</v>
      </c>
      <c r="AM26" s="31">
        <f t="shared" si="51"/>
        <v>674479.94010795176</v>
      </c>
      <c r="AN26" s="31">
        <f t="shared" si="52"/>
        <v>674479.94010795176</v>
      </c>
      <c r="AO26" s="30">
        <f t="shared" si="53"/>
        <v>1241411.5658544416</v>
      </c>
      <c r="AP26" s="30">
        <v>0</v>
      </c>
      <c r="AQ26" s="30">
        <f t="shared" si="54"/>
        <v>41482308.041247807</v>
      </c>
      <c r="AR26" s="31">
        <f t="shared" si="55"/>
        <v>448431.15624375036</v>
      </c>
      <c r="AS26" s="31">
        <f t="shared" si="56"/>
        <v>422952.31383302191</v>
      </c>
      <c r="AT26" s="31">
        <f t="shared" si="57"/>
        <v>871383.47007677227</v>
      </c>
      <c r="AU26" s="33">
        <f t="shared" si="58"/>
        <v>232577832.78505355</v>
      </c>
    </row>
    <row r="27" spans="1:47" ht="15" customHeight="1" x14ac:dyDescent="0.2">
      <c r="A27" s="41" t="s">
        <v>76</v>
      </c>
      <c r="B27" s="35">
        <v>13</v>
      </c>
      <c r="C27" s="34">
        <v>10</v>
      </c>
      <c r="D27" s="30">
        <f>+Vigencia_2021!D27*1.03</f>
        <v>8598277.9877979998</v>
      </c>
      <c r="E27" s="30">
        <f t="shared" si="33"/>
        <v>1031793358.5357599</v>
      </c>
      <c r="F27" s="30">
        <v>0</v>
      </c>
      <c r="G27" s="30">
        <f>+(D27*50%)*9*12</f>
        <v>464307011.34109199</v>
      </c>
      <c r="H27" s="30">
        <f t="shared" si="7"/>
        <v>0</v>
      </c>
      <c r="I27" s="30">
        <f t="shared" si="8"/>
        <v>0</v>
      </c>
      <c r="J27" s="30">
        <f t="shared" si="26"/>
        <v>43566101.228104971</v>
      </c>
      <c r="K27" s="30">
        <f>+IF(D27&lt;1853502,(((D27+(F27/12)+(G27/12))*0.5))*C27,(((D27+(F27/12)+(G27/12))*0.35))*C27)</f>
        <v>165516851.26511151</v>
      </c>
      <c r="L27" s="30">
        <v>0</v>
      </c>
      <c r="M27" s="30">
        <f>+(E27/12)+J27/12+K27/12+N27/12</f>
        <v>137630395.7864807</v>
      </c>
      <c r="N27" s="30">
        <f t="shared" si="27"/>
        <v>410688438.40879202</v>
      </c>
      <c r="O27" s="30"/>
      <c r="P27" s="30">
        <f t="shared" si="11"/>
        <v>2253502156.565341</v>
      </c>
      <c r="Q27" s="30"/>
      <c r="R27" s="30"/>
      <c r="S27" s="30"/>
      <c r="T27" s="30"/>
      <c r="U27" s="30">
        <f t="shared" ref="U27:U28" si="59">SUM(Q27:T27)</f>
        <v>0</v>
      </c>
      <c r="V27" s="30">
        <f t="shared" si="39"/>
        <v>2253502156.565341</v>
      </c>
      <c r="W27" s="30">
        <f t="shared" si="13"/>
        <v>314861136.11340719</v>
      </c>
      <c r="X27" s="30">
        <v>20000000</v>
      </c>
      <c r="Y27" s="30">
        <f t="shared" ref="Y27:Y90" si="60">+((D27/30)*2)*C27</f>
        <v>5732185.3251986662</v>
      </c>
      <c r="Z27" s="30">
        <f t="shared" ref="Z27" si="61">SUM(W27:Y27)</f>
        <v>340593321.43860584</v>
      </c>
      <c r="AA27" s="30"/>
      <c r="AB27" s="30"/>
      <c r="AC27" s="30"/>
      <c r="AD27" s="30"/>
      <c r="AE27" s="30">
        <f t="shared" ref="AE27" si="62">SUM(AA27:AD27)</f>
        <v>0</v>
      </c>
      <c r="AF27" s="30">
        <f t="shared" ref="AF27" si="63">SUM(AA27:AD27)</f>
        <v>0</v>
      </c>
      <c r="AG27" s="30">
        <f t="shared" si="28"/>
        <v>123815203.02429119</v>
      </c>
      <c r="AH27" s="30">
        <f t="shared" si="29"/>
        <v>88874846.505334139</v>
      </c>
      <c r="AI27" s="30">
        <f t="shared" si="30"/>
        <v>87132202.456209943</v>
      </c>
      <c r="AJ27" s="31">
        <f t="shared" si="16"/>
        <v>47723380.231419586</v>
      </c>
      <c r="AK27" s="31">
        <f t="shared" si="17"/>
        <v>6913768.8504558131</v>
      </c>
      <c r="AL27" s="30">
        <f t="shared" si="18"/>
        <v>36148571.144445404</v>
      </c>
      <c r="AM27" s="31">
        <f t="shared" si="19"/>
        <v>6744799.4010795169</v>
      </c>
      <c r="AN27" s="31">
        <f t="shared" si="20"/>
        <v>6744799.4010795169</v>
      </c>
      <c r="AO27" s="30">
        <f t="shared" si="21"/>
        <v>12414115.658544416</v>
      </c>
      <c r="AP27" s="30">
        <v>0</v>
      </c>
      <c r="AQ27" s="32">
        <f t="shared" ref="AQ27" si="64">SUM(AG27:AP27)</f>
        <v>416511686.67285955</v>
      </c>
      <c r="AR27" s="31">
        <f t="shared" si="22"/>
        <v>4484311.5624375036</v>
      </c>
      <c r="AS27" s="31">
        <f t="shared" si="23"/>
        <v>4229523.1383302184</v>
      </c>
      <c r="AT27" s="31">
        <f t="shared" ref="AT27" si="65">SUM(AR27:AS27)</f>
        <v>8713834.700767722</v>
      </c>
      <c r="AU27" s="33">
        <f t="shared" si="58"/>
        <v>2670013843.2382007</v>
      </c>
    </row>
    <row r="28" spans="1:47" ht="15" customHeight="1" thickBot="1" x14ac:dyDescent="0.25">
      <c r="A28" s="41" t="s">
        <v>76</v>
      </c>
      <c r="B28" s="78" t="s">
        <v>111</v>
      </c>
      <c r="C28" s="37">
        <v>27</v>
      </c>
      <c r="D28" s="30">
        <f>+Vigencia_2021!D28*1.03</f>
        <v>6497976.4500000002</v>
      </c>
      <c r="E28" s="30">
        <f t="shared" si="33"/>
        <v>2105344369.8000002</v>
      </c>
      <c r="F28" s="30"/>
      <c r="G28" s="30">
        <f>+(D28*50%)*14*12</f>
        <v>545830021.79999995</v>
      </c>
      <c r="H28" s="30">
        <f t="shared" si="7"/>
        <v>0</v>
      </c>
      <c r="I28" s="30">
        <f t="shared" si="8"/>
        <v>0</v>
      </c>
      <c r="J28" s="30">
        <f t="shared" si="26"/>
        <v>89428400.893125013</v>
      </c>
      <c r="K28" s="30">
        <f>+IF(D28&lt;1853502,(((D28+(F28/12)+(G28/12))*0.5))*C28,(((D28+(F28/12)+(G28/12))*0.35))*C28)</f>
        <v>491247019.61999995</v>
      </c>
      <c r="L28" s="30">
        <v>0</v>
      </c>
      <c r="M28" s="30">
        <f>+(E28/12)+J28/12+K28/12+N28/12</f>
        <v>391193411.92230469</v>
      </c>
      <c r="N28" s="30">
        <f t="shared" si="27"/>
        <v>2008301152.7545314</v>
      </c>
      <c r="O28" s="30"/>
      <c r="P28" s="30">
        <f t="shared" si="11"/>
        <v>5631344376.7899609</v>
      </c>
      <c r="Q28" s="30"/>
      <c r="R28" s="30"/>
      <c r="S28" s="30"/>
      <c r="T28" s="30"/>
      <c r="U28" s="30">
        <f t="shared" si="59"/>
        <v>0</v>
      </c>
      <c r="V28" s="30">
        <f t="shared" si="39"/>
        <v>5631344376.7899609</v>
      </c>
      <c r="W28" s="30">
        <f t="shared" si="13"/>
        <v>1539697550.4451406</v>
      </c>
      <c r="X28" s="30">
        <v>0</v>
      </c>
      <c r="Y28" s="30">
        <f t="shared" si="60"/>
        <v>11696357.609999999</v>
      </c>
      <c r="Z28" s="30">
        <f t="shared" ref="Z28" si="66">SUM(W28:Y28)</f>
        <v>1551393908.0551405</v>
      </c>
      <c r="AA28" s="30"/>
      <c r="AB28" s="30"/>
      <c r="AC28" s="30"/>
      <c r="AD28" s="30"/>
      <c r="AE28" s="30">
        <f t="shared" ref="AE28" si="67">SUM(AA28:AD28)</f>
        <v>0</v>
      </c>
      <c r="AF28" s="30">
        <f t="shared" ref="AF28" si="68">SUM(AA28:AD28)</f>
        <v>0</v>
      </c>
      <c r="AG28" s="30">
        <f t="shared" si="28"/>
        <v>252641324.37599999</v>
      </c>
      <c r="AH28" s="30">
        <f t="shared" si="29"/>
        <v>182433937.82197502</v>
      </c>
      <c r="AI28" s="30">
        <f t="shared" si="30"/>
        <v>178856801.78625003</v>
      </c>
      <c r="AJ28" s="31">
        <f t="shared" si="16"/>
        <v>97378170.780851752</v>
      </c>
      <c r="AK28" s="31">
        <f t="shared" si="17"/>
        <v>14107344.462909032</v>
      </c>
      <c r="AL28" s="30">
        <f t="shared" si="18"/>
        <v>73760109.13975583</v>
      </c>
      <c r="AM28" s="31">
        <f t="shared" si="19"/>
        <v>13762567.210788094</v>
      </c>
      <c r="AN28" s="31">
        <f t="shared" si="20"/>
        <v>13762567.210788094</v>
      </c>
      <c r="AO28" s="30">
        <f t="shared" si="21"/>
        <v>25330642.314709842</v>
      </c>
      <c r="AP28" s="30">
        <v>0</v>
      </c>
      <c r="AQ28" s="32">
        <f t="shared" ref="AQ28" si="69">SUM(AG28:AP28)</f>
        <v>852033465.10402775</v>
      </c>
      <c r="AR28" s="31">
        <f t="shared" si="22"/>
        <v>9150107.4534970783</v>
      </c>
      <c r="AS28" s="31">
        <f t="shared" si="23"/>
        <v>8630219.0768692922</v>
      </c>
      <c r="AT28" s="31">
        <f t="shared" ref="AT28" si="70">SUM(AR28:AS28)</f>
        <v>17780326.530366369</v>
      </c>
      <c r="AU28" s="33">
        <f t="shared" si="58"/>
        <v>6483377841.8939886</v>
      </c>
    </row>
    <row r="29" spans="1:47" ht="15" customHeight="1" thickTop="1" thickBot="1" x14ac:dyDescent="0.25">
      <c r="A29" s="27" t="s">
        <v>77</v>
      </c>
      <c r="B29" s="39"/>
      <c r="C29" s="64">
        <f t="shared" ref="C29:AU29" si="71">SUM(C30:C51)</f>
        <v>1017</v>
      </c>
      <c r="D29" s="61">
        <f t="shared" si="71"/>
        <v>95734083.069849014</v>
      </c>
      <c r="E29" s="61">
        <f t="shared" si="71"/>
        <v>48810963264.755508</v>
      </c>
      <c r="F29" s="61">
        <f t="shared" si="71"/>
        <v>0</v>
      </c>
      <c r="G29" s="61">
        <f>SUM(G30:G51)</f>
        <v>0</v>
      </c>
      <c r="H29" s="61">
        <f t="shared" si="71"/>
        <v>0</v>
      </c>
      <c r="I29" s="61">
        <f t="shared" si="71"/>
        <v>0</v>
      </c>
      <c r="J29" s="61">
        <f t="shared" si="71"/>
        <v>2038733375.9454448</v>
      </c>
      <c r="K29" s="61">
        <f t="shared" si="71"/>
        <v>1423653095.2220356</v>
      </c>
      <c r="L29" s="61">
        <f t="shared" si="71"/>
        <v>0</v>
      </c>
      <c r="M29" s="61">
        <f t="shared" si="71"/>
        <v>4526565849.7723866</v>
      </c>
      <c r="N29" s="61">
        <f t="shared" si="71"/>
        <v>2045440461.3456366</v>
      </c>
      <c r="O29" s="61">
        <f t="shared" si="71"/>
        <v>0</v>
      </c>
      <c r="P29" s="61">
        <f t="shared" si="71"/>
        <v>58845356047.041008</v>
      </c>
      <c r="Q29" s="61">
        <f t="shared" si="71"/>
        <v>0</v>
      </c>
      <c r="R29" s="61">
        <f t="shared" si="71"/>
        <v>0</v>
      </c>
      <c r="S29" s="61">
        <f t="shared" si="71"/>
        <v>0</v>
      </c>
      <c r="T29" s="61">
        <f t="shared" si="71"/>
        <v>0</v>
      </c>
      <c r="U29" s="61">
        <f t="shared" si="71"/>
        <v>0</v>
      </c>
      <c r="V29" s="61">
        <f>SUM(V30:V51)</f>
        <v>58845356047.041008</v>
      </c>
      <c r="W29" s="61">
        <f t="shared" si="71"/>
        <v>3050685204.0472193</v>
      </c>
      <c r="X29" s="61">
        <f t="shared" si="71"/>
        <v>20000000</v>
      </c>
      <c r="Y29" s="61">
        <f t="shared" si="71"/>
        <v>271172018.13753062</v>
      </c>
      <c r="Z29" s="61">
        <f t="shared" si="71"/>
        <v>3341857222.1847506</v>
      </c>
      <c r="AA29" s="61">
        <f t="shared" si="71"/>
        <v>0</v>
      </c>
      <c r="AB29" s="61">
        <f t="shared" si="71"/>
        <v>0</v>
      </c>
      <c r="AC29" s="61">
        <f t="shared" si="71"/>
        <v>0</v>
      </c>
      <c r="AD29" s="61">
        <f t="shared" si="71"/>
        <v>0</v>
      </c>
      <c r="AE29" s="61">
        <f t="shared" si="71"/>
        <v>0</v>
      </c>
      <c r="AF29" s="61">
        <f t="shared" si="71"/>
        <v>3341857222.1847506</v>
      </c>
      <c r="AG29" s="61">
        <f t="shared" si="71"/>
        <v>5857315591.7706604</v>
      </c>
      <c r="AH29" s="61">
        <f t="shared" si="71"/>
        <v>4159016086.9287071</v>
      </c>
      <c r="AI29" s="61">
        <f t="shared" si="71"/>
        <v>4077466751.8908896</v>
      </c>
      <c r="AJ29" s="61">
        <f t="shared" si="71"/>
        <v>2257646010.293685</v>
      </c>
      <c r="AK29" s="61">
        <f t="shared" si="71"/>
        <v>327069092.45812297</v>
      </c>
      <c r="AL29" s="61">
        <f t="shared" si="71"/>
        <v>1710077472.0132818</v>
      </c>
      <c r="AM29" s="61">
        <f t="shared" si="71"/>
        <v>319075668.6604774</v>
      </c>
      <c r="AN29" s="61">
        <f t="shared" si="71"/>
        <v>319075668.6604774</v>
      </c>
      <c r="AO29" s="61">
        <f t="shared" si="71"/>
        <v>587273544.99892008</v>
      </c>
      <c r="AP29" s="61">
        <f t="shared" si="71"/>
        <v>0</v>
      </c>
      <c r="AQ29" s="62">
        <f t="shared" si="71"/>
        <v>19614015887.675224</v>
      </c>
      <c r="AR29" s="61">
        <f t="shared" si="71"/>
        <v>212138957.02185732</v>
      </c>
      <c r="AS29" s="61">
        <f t="shared" si="71"/>
        <v>200085702.06871963</v>
      </c>
      <c r="AT29" s="63">
        <f t="shared" si="71"/>
        <v>412224659.09057701</v>
      </c>
      <c r="AU29" s="62">
        <f t="shared" si="71"/>
        <v>81801229156.900986</v>
      </c>
    </row>
    <row r="30" spans="1:47" ht="15" customHeight="1" thickTop="1" x14ac:dyDescent="0.2">
      <c r="A30" s="41" t="s">
        <v>78</v>
      </c>
      <c r="B30" s="78" t="s">
        <v>105</v>
      </c>
      <c r="C30" s="35">
        <v>2</v>
      </c>
      <c r="D30" s="30">
        <f>Vigencia_2021!D30*1.03</f>
        <v>2058478.336504</v>
      </c>
      <c r="E30" s="30">
        <f t="shared" ref="E30:E51" si="72">D30*C30*12</f>
        <v>49403480.076095998</v>
      </c>
      <c r="F30" s="30"/>
      <c r="G30" s="30">
        <v>0</v>
      </c>
      <c r="H30" s="30">
        <f t="shared" si="7"/>
        <v>0</v>
      </c>
      <c r="I30" s="30">
        <f t="shared" si="8"/>
        <v>0</v>
      </c>
      <c r="J30" s="30">
        <f t="shared" si="26"/>
        <v>2063481.5824607806</v>
      </c>
      <c r="K30" s="30">
        <f>+IF(D30&lt;1853502,(((D30+(F30/12)+(G30/12))*0.5))*C30,(((D30+(F30/12)+(G30/12))*0.35))*C30)</f>
        <v>1440934.8355528</v>
      </c>
      <c r="L30" s="30">
        <v>0</v>
      </c>
      <c r="M30" s="30">
        <f>+(E30/12)+J30/12+K30/12+N30/12</f>
        <v>4559163.040826126</v>
      </c>
      <c r="N30" s="30">
        <f>+((((D30+H30/12+I30/12+J30/12+K30/12)/2)*23)/30)*C30</f>
        <v>1802059.9958039343</v>
      </c>
      <c r="O30" s="30"/>
      <c r="P30" s="30">
        <f t="shared" si="11"/>
        <v>59269119.530739643</v>
      </c>
      <c r="Q30" s="30"/>
      <c r="R30" s="30"/>
      <c r="S30" s="30"/>
      <c r="T30" s="30"/>
      <c r="U30" s="30">
        <f t="shared" ref="U30:U51" si="73">SUM(Q30:T30)</f>
        <v>0</v>
      </c>
      <c r="V30" s="30">
        <f t="shared" ref="V30:V51" si="74">P30+U30</f>
        <v>59269119.530739643</v>
      </c>
      <c r="W30" s="30">
        <f>+(E30/360)*22.5</f>
        <v>3087717.5047559994</v>
      </c>
      <c r="X30" s="30">
        <v>20000000</v>
      </c>
      <c r="Y30" s="30">
        <f>+((E30/360)*2)</f>
        <v>274463.7782005333</v>
      </c>
      <c r="Z30" s="30">
        <f t="shared" ref="Z30:Z51" si="75">SUM(W30:Y30)</f>
        <v>23362181.282956533</v>
      </c>
      <c r="AA30" s="30"/>
      <c r="AB30" s="30"/>
      <c r="AC30" s="30"/>
      <c r="AD30" s="30"/>
      <c r="AE30" s="30">
        <f t="shared" ref="AE30:AE51" si="76">SUM(AA30:AD30)</f>
        <v>0</v>
      </c>
      <c r="AF30" s="30">
        <f t="shared" ref="AF30:AF51" si="77">Z30+AE30</f>
        <v>23362181.282956533</v>
      </c>
      <c r="AG30" s="30">
        <f t="shared" si="28"/>
        <v>5928417.6091315197</v>
      </c>
      <c r="AH30" s="30">
        <f t="shared" si="29"/>
        <v>4209502.4282199927</v>
      </c>
      <c r="AI30" s="30">
        <f t="shared" si="30"/>
        <v>4126963.1649215613</v>
      </c>
      <c r="AJ30" s="31">
        <f t="shared" si="16"/>
        <v>2285051.5996466144</v>
      </c>
      <c r="AK30" s="31">
        <f t="shared" si="17"/>
        <v>331039.38771126425</v>
      </c>
      <c r="AL30" s="30">
        <f t="shared" si="18"/>
        <v>1730836.1209538186</v>
      </c>
      <c r="AM30" s="31">
        <f t="shared" si="19"/>
        <v>322948.93165562814</v>
      </c>
      <c r="AN30" s="31">
        <f t="shared" si="20"/>
        <v>322948.93165562814</v>
      </c>
      <c r="AO30" s="30">
        <f t="shared" si="21"/>
        <v>594402.46491758607</v>
      </c>
      <c r="AP30" s="30">
        <v>0</v>
      </c>
      <c r="AQ30" s="32">
        <f t="shared" ref="AQ30:AQ51" si="78">SUM(AG30:AP30)</f>
        <v>19852110.638813607</v>
      </c>
      <c r="AR30" s="31">
        <f t="shared" si="22"/>
        <v>214714.11411707586</v>
      </c>
      <c r="AS30" s="31">
        <f t="shared" si="23"/>
        <v>202514.54457161255</v>
      </c>
      <c r="AT30" s="31">
        <f t="shared" ref="AT30:AT51" si="79">SUM(AR30:AS30)</f>
        <v>417228.65868868842</v>
      </c>
      <c r="AU30" s="33">
        <f t="shared" ref="AU30:AU51" si="80">V30+AF30+AQ30</f>
        <v>102483411.45250979</v>
      </c>
    </row>
    <row r="31" spans="1:47" ht="15" customHeight="1" x14ac:dyDescent="0.2">
      <c r="A31" s="41" t="s">
        <v>78</v>
      </c>
      <c r="B31" s="78" t="s">
        <v>106</v>
      </c>
      <c r="C31" s="35">
        <v>4</v>
      </c>
      <c r="D31" s="30">
        <f>Vigencia_2021!D31*1.03</f>
        <v>2378054.3905120003</v>
      </c>
      <c r="E31" s="30">
        <f t="shared" si="72"/>
        <v>114146610.74457601</v>
      </c>
      <c r="F31" s="30">
        <v>0</v>
      </c>
      <c r="G31" s="30">
        <v>0</v>
      </c>
      <c r="H31" s="30">
        <f t="shared" si="7"/>
        <v>0</v>
      </c>
      <c r="I31" s="30">
        <f t="shared" si="8"/>
        <v>0</v>
      </c>
      <c r="J31" s="30">
        <f t="shared" si="26"/>
        <v>4767668.7676445441</v>
      </c>
      <c r="K31" s="30">
        <f t="shared" ref="K31:K53" si="81">+IF(D31&lt;1853502,(((D31+(F31/12)+(G31/12))*0.5))*C31,(((D31+(F31/12)+(G31/12))*0.35))*C31)</f>
        <v>3329276.1467168001</v>
      </c>
      <c r="L31" s="30">
        <v>0</v>
      </c>
      <c r="M31" s="30">
        <f t="shared" ref="M31:M94" si="82">+(E31/12)+J31/12+K31/12+N31/12</f>
        <v>10577042.946027938</v>
      </c>
      <c r="N31" s="30">
        <f t="shared" ref="N31" si="83">+((((D31+H31/12+I31/12+J31/12+K31/12)/2)*23)/30)*C31</f>
        <v>4680959.6933979047</v>
      </c>
      <c r="O31" s="30"/>
      <c r="P31" s="30">
        <f t="shared" si="11"/>
        <v>137501558.29836318</v>
      </c>
      <c r="Q31" s="30"/>
      <c r="R31" s="30"/>
      <c r="S31" s="30"/>
      <c r="T31" s="30"/>
      <c r="U31" s="30">
        <f t="shared" si="73"/>
        <v>0</v>
      </c>
      <c r="V31" s="30">
        <f t="shared" si="74"/>
        <v>137501558.29836318</v>
      </c>
      <c r="W31" s="30">
        <f t="shared" ref="W31:W51" si="84">+(E31/360)*22.5</f>
        <v>7134163.1715360004</v>
      </c>
      <c r="X31" s="30">
        <v>0</v>
      </c>
      <c r="Y31" s="30">
        <f t="shared" ref="Y31:Y51" si="85">+((E31/360)*2)</f>
        <v>634147.83746986673</v>
      </c>
      <c r="Z31" s="30">
        <f t="shared" si="75"/>
        <v>7768311.0090058669</v>
      </c>
      <c r="AA31" s="30"/>
      <c r="AB31" s="30"/>
      <c r="AC31" s="30"/>
      <c r="AD31" s="30"/>
      <c r="AE31" s="30">
        <f t="shared" si="76"/>
        <v>0</v>
      </c>
      <c r="AF31" s="30">
        <f t="shared" si="77"/>
        <v>7768311.0090058669</v>
      </c>
      <c r="AG31" s="30">
        <f t="shared" si="28"/>
        <v>13697593.289349122</v>
      </c>
      <c r="AH31" s="30">
        <f t="shared" si="29"/>
        <v>9726044.2859948706</v>
      </c>
      <c r="AI31" s="30">
        <f t="shared" si="30"/>
        <v>9535337.5352890883</v>
      </c>
      <c r="AJ31" s="31">
        <f t="shared" si="16"/>
        <v>5279605.7094434639</v>
      </c>
      <c r="AK31" s="31">
        <f t="shared" si="17"/>
        <v>764865.63440464612</v>
      </c>
      <c r="AL31" s="30">
        <f t="shared" si="18"/>
        <v>3999092.3039602162</v>
      </c>
      <c r="AM31" s="31">
        <f t="shared" si="19"/>
        <v>746172.65697256383</v>
      </c>
      <c r="AN31" s="31">
        <f t="shared" si="20"/>
        <v>746172.65697256383</v>
      </c>
      <c r="AO31" s="30">
        <f t="shared" si="21"/>
        <v>1373365.3314312389</v>
      </c>
      <c r="AP31" s="30">
        <v>0</v>
      </c>
      <c r="AQ31" s="32">
        <f t="shared" si="78"/>
        <v>45868249.40381778</v>
      </c>
      <c r="AR31" s="31">
        <f t="shared" si="22"/>
        <v>496096.39579514199</v>
      </c>
      <c r="AS31" s="31">
        <f t="shared" si="23"/>
        <v>467909.3224551169</v>
      </c>
      <c r="AT31" s="31">
        <f t="shared" si="79"/>
        <v>964005.71825025883</v>
      </c>
      <c r="AU31" s="33">
        <f t="shared" si="80"/>
        <v>191138118.71118683</v>
      </c>
    </row>
    <row r="32" spans="1:47" ht="15" customHeight="1" x14ac:dyDescent="0.2">
      <c r="A32" s="41" t="s">
        <v>78</v>
      </c>
      <c r="B32" s="78" t="s">
        <v>107</v>
      </c>
      <c r="C32" s="35">
        <v>55</v>
      </c>
      <c r="D32" s="30">
        <f>Vigencia_2021!D32*1.03</f>
        <v>2504043.2991760001</v>
      </c>
      <c r="E32" s="30">
        <f t="shared" si="72"/>
        <v>1652668577.4561601</v>
      </c>
      <c r="F32" s="30">
        <v>0</v>
      </c>
      <c r="G32" s="30">
        <v>0</v>
      </c>
      <c r="H32" s="30">
        <f t="shared" si="7"/>
        <v>0</v>
      </c>
      <c r="I32" s="30">
        <f t="shared" si="8"/>
        <v>0</v>
      </c>
      <c r="J32" s="30">
        <f t="shared" si="26"/>
        <v>69028561.677024513</v>
      </c>
      <c r="K32" s="30">
        <f t="shared" si="81"/>
        <v>48202833.509137996</v>
      </c>
      <c r="L32" s="30">
        <v>0</v>
      </c>
      <c r="M32" s="30">
        <f t="shared" si="82"/>
        <v>153264018.06876415</v>
      </c>
      <c r="N32" s="30">
        <f>+(E32+H32+I32+J32/12+K32/12)/24</f>
        <v>69268244.182847515</v>
      </c>
      <c r="O32" s="30"/>
      <c r="P32" s="30">
        <f t="shared" si="11"/>
        <v>1992432234.8939345</v>
      </c>
      <c r="Q32" s="30"/>
      <c r="R32" s="30"/>
      <c r="S32" s="30"/>
      <c r="T32" s="30"/>
      <c r="U32" s="30">
        <f t="shared" si="73"/>
        <v>0</v>
      </c>
      <c r="V32" s="30">
        <f t="shared" si="74"/>
        <v>1992432234.8939345</v>
      </c>
      <c r="W32" s="30">
        <f t="shared" si="84"/>
        <v>103291786.09100999</v>
      </c>
      <c r="X32" s="30">
        <v>0</v>
      </c>
      <c r="Y32" s="30">
        <f t="shared" si="85"/>
        <v>9181492.0969786663</v>
      </c>
      <c r="Z32" s="30">
        <f t="shared" si="75"/>
        <v>112473278.18798865</v>
      </c>
      <c r="AA32" s="30"/>
      <c r="AB32" s="30"/>
      <c r="AC32" s="30"/>
      <c r="AD32" s="30"/>
      <c r="AE32" s="30">
        <f t="shared" si="76"/>
        <v>0</v>
      </c>
      <c r="AF32" s="30">
        <f t="shared" si="77"/>
        <v>112473278.18798865</v>
      </c>
      <c r="AG32" s="30">
        <f t="shared" si="28"/>
        <v>198320229.29473922</v>
      </c>
      <c r="AH32" s="30">
        <f t="shared" si="29"/>
        <v>140818265.82113001</v>
      </c>
      <c r="AI32" s="30">
        <f t="shared" si="30"/>
        <v>138057123.35404903</v>
      </c>
      <c r="AJ32" s="31">
        <f t="shared" si="16"/>
        <v>76440626.668102488</v>
      </c>
      <c r="AK32" s="31">
        <f t="shared" si="17"/>
        <v>11074086.139843583</v>
      </c>
      <c r="AL32" s="30">
        <f t="shared" si="18"/>
        <v>57900748.397085994</v>
      </c>
      <c r="AM32" s="31">
        <f t="shared" si="19"/>
        <v>10803440.378050191</v>
      </c>
      <c r="AN32" s="31">
        <f t="shared" si="20"/>
        <v>10803440.378050191</v>
      </c>
      <c r="AO32" s="30">
        <f t="shared" si="21"/>
        <v>19884232.337856997</v>
      </c>
      <c r="AP32" s="30">
        <v>0</v>
      </c>
      <c r="AQ32" s="32">
        <f t="shared" si="78"/>
        <v>664102192.76890779</v>
      </c>
      <c r="AR32" s="31">
        <f t="shared" si="22"/>
        <v>7182718.0795978596</v>
      </c>
      <c r="AS32" s="31">
        <f t="shared" si="23"/>
        <v>6774612.3102224395</v>
      </c>
      <c r="AT32" s="31">
        <f t="shared" si="79"/>
        <v>13957330.3898203</v>
      </c>
      <c r="AU32" s="33">
        <f t="shared" si="80"/>
        <v>2769007705.850831</v>
      </c>
    </row>
    <row r="33" spans="1:47" ht="15" customHeight="1" x14ac:dyDescent="0.2">
      <c r="A33" s="41" t="s">
        <v>78</v>
      </c>
      <c r="B33" s="78" t="s">
        <v>108</v>
      </c>
      <c r="C33" s="35">
        <v>14</v>
      </c>
      <c r="D33" s="30">
        <f>Vigencia_2021!D33*1.03</f>
        <v>2648802.44992</v>
      </c>
      <c r="E33" s="30">
        <f t="shared" si="72"/>
        <v>444998811.58656001</v>
      </c>
      <c r="F33" s="30">
        <v>0</v>
      </c>
      <c r="G33" s="30">
        <v>0</v>
      </c>
      <c r="H33" s="30">
        <f t="shared" si="7"/>
        <v>0</v>
      </c>
      <c r="I33" s="30">
        <f t="shared" si="8"/>
        <v>0</v>
      </c>
      <c r="J33" s="30">
        <f t="shared" si="26"/>
        <v>18586683.580011558</v>
      </c>
      <c r="K33" s="30">
        <f t="shared" si="81"/>
        <v>12979132.004608</v>
      </c>
      <c r="L33" s="30">
        <v>0</v>
      </c>
      <c r="M33" s="30">
        <f t="shared" si="82"/>
        <v>41267987.320579588</v>
      </c>
      <c r="N33" s="30">
        <f t="shared" ref="N33:N83" si="86">+(E33+H33+I33+J33/12+K33/12)/24</f>
        <v>18651220.675775487</v>
      </c>
      <c r="O33" s="30"/>
      <c r="P33" s="30">
        <f t="shared" si="11"/>
        <v>536483835.16753459</v>
      </c>
      <c r="Q33" s="30"/>
      <c r="R33" s="30"/>
      <c r="S33" s="30"/>
      <c r="T33" s="30"/>
      <c r="U33" s="30">
        <f t="shared" si="73"/>
        <v>0</v>
      </c>
      <c r="V33" s="30">
        <f t="shared" si="74"/>
        <v>536483835.16753459</v>
      </c>
      <c r="W33" s="30">
        <f t="shared" si="84"/>
        <v>27812425.724159997</v>
      </c>
      <c r="X33" s="30">
        <v>0</v>
      </c>
      <c r="Y33" s="30">
        <f t="shared" si="85"/>
        <v>2472215.6199253332</v>
      </c>
      <c r="Z33" s="30">
        <f t="shared" si="75"/>
        <v>30284641.344085328</v>
      </c>
      <c r="AA33" s="30"/>
      <c r="AB33" s="30"/>
      <c r="AC33" s="30"/>
      <c r="AD33" s="30"/>
      <c r="AE33" s="30">
        <f t="shared" si="76"/>
        <v>0</v>
      </c>
      <c r="AF33" s="30">
        <f t="shared" si="77"/>
        <v>30284641.344085328</v>
      </c>
      <c r="AG33" s="30">
        <f t="shared" si="28"/>
        <v>53399857.3903872</v>
      </c>
      <c r="AH33" s="30">
        <f t="shared" si="29"/>
        <v>37916834.503223576</v>
      </c>
      <c r="AI33" s="30">
        <f t="shared" si="30"/>
        <v>37173367.160023116</v>
      </c>
      <c r="AJ33" s="31">
        <f t="shared" si="16"/>
        <v>20582461.897228055</v>
      </c>
      <c r="AK33" s="31">
        <f t="shared" si="17"/>
        <v>2981816.9467606475</v>
      </c>
      <c r="AL33" s="30">
        <f t="shared" si="18"/>
        <v>15590400.022208428</v>
      </c>
      <c r="AM33" s="31">
        <f t="shared" si="19"/>
        <v>2908942.6608924069</v>
      </c>
      <c r="AN33" s="31">
        <f t="shared" si="20"/>
        <v>2908942.6608924069</v>
      </c>
      <c r="AO33" s="30">
        <f t="shared" si="21"/>
        <v>5354043.6844737744</v>
      </c>
      <c r="AP33" s="30">
        <v>0</v>
      </c>
      <c r="AQ33" s="32">
        <f t="shared" si="78"/>
        <v>178816666.92608961</v>
      </c>
      <c r="AR33" s="31">
        <f t="shared" si="22"/>
        <v>1934024.1915304</v>
      </c>
      <c r="AS33" s="31">
        <f t="shared" si="23"/>
        <v>1824137.3183539193</v>
      </c>
      <c r="AT33" s="31">
        <f t="shared" si="79"/>
        <v>3758161.5098843193</v>
      </c>
      <c r="AU33" s="33">
        <f t="shared" si="80"/>
        <v>745585143.43770957</v>
      </c>
    </row>
    <row r="34" spans="1:47" ht="15" customHeight="1" x14ac:dyDescent="0.2">
      <c r="A34" s="41" t="s">
        <v>78</v>
      </c>
      <c r="B34" s="78" t="s">
        <v>109</v>
      </c>
      <c r="C34" s="35">
        <v>77</v>
      </c>
      <c r="D34" s="30">
        <f>Vigencia_2021!D34*1.03</f>
        <v>2741036.6293299999</v>
      </c>
      <c r="E34" s="30">
        <f t="shared" si="72"/>
        <v>2532717845.5009198</v>
      </c>
      <c r="F34" s="30">
        <v>0</v>
      </c>
      <c r="G34" s="30">
        <v>0</v>
      </c>
      <c r="H34" s="30">
        <f t="shared" si="7"/>
        <v>0</v>
      </c>
      <c r="I34" s="30">
        <f t="shared" si="8"/>
        <v>0</v>
      </c>
      <c r="J34" s="30">
        <f t="shared" si="26"/>
        <v>105786406.53878987</v>
      </c>
      <c r="K34" s="30">
        <f t="shared" si="81"/>
        <v>73870937.160443485</v>
      </c>
      <c r="L34" s="30">
        <v>0</v>
      </c>
      <c r="M34" s="30">
        <f t="shared" si="82"/>
        <v>234877409.13754469</v>
      </c>
      <c r="N34" s="30">
        <f t="shared" si="86"/>
        <v>106153720.45038289</v>
      </c>
      <c r="O34" s="30"/>
      <c r="P34" s="30">
        <f t="shared" si="11"/>
        <v>3053406318.7880802</v>
      </c>
      <c r="Q34" s="30"/>
      <c r="R34" s="30"/>
      <c r="S34" s="30"/>
      <c r="T34" s="30"/>
      <c r="U34" s="30">
        <f t="shared" si="73"/>
        <v>0</v>
      </c>
      <c r="V34" s="30">
        <f t="shared" si="74"/>
        <v>3053406318.7880802</v>
      </c>
      <c r="W34" s="30">
        <f t="shared" si="84"/>
        <v>158294865.34380749</v>
      </c>
      <c r="X34" s="30">
        <v>0</v>
      </c>
      <c r="Y34" s="30">
        <f t="shared" si="85"/>
        <v>14070654.697227333</v>
      </c>
      <c r="Z34" s="30">
        <f t="shared" si="75"/>
        <v>172365520.04103482</v>
      </c>
      <c r="AA34" s="30"/>
      <c r="AB34" s="30"/>
      <c r="AC34" s="30"/>
      <c r="AD34" s="30"/>
      <c r="AE34" s="30">
        <f t="shared" si="76"/>
        <v>0</v>
      </c>
      <c r="AF34" s="30">
        <f t="shared" si="77"/>
        <v>172365520.04103482</v>
      </c>
      <c r="AG34" s="30">
        <f t="shared" si="28"/>
        <v>303926141.46011037</v>
      </c>
      <c r="AH34" s="30">
        <f t="shared" si="29"/>
        <v>215804269.33913136</v>
      </c>
      <c r="AI34" s="30">
        <f t="shared" si="30"/>
        <v>211572813.07757974</v>
      </c>
      <c r="AJ34" s="31">
        <f t="shared" si="16"/>
        <v>117145410.71602866</v>
      </c>
      <c r="AK34" s="31">
        <f t="shared" si="17"/>
        <v>16971058.790364306</v>
      </c>
      <c r="AL34" s="30">
        <f t="shared" si="18"/>
        <v>88733010.800556928</v>
      </c>
      <c r="AM34" s="31">
        <f t="shared" si="19"/>
        <v>16556293.628096618</v>
      </c>
      <c r="AN34" s="31">
        <f t="shared" si="20"/>
        <v>16556293.628096618</v>
      </c>
      <c r="AO34" s="30">
        <f t="shared" si="21"/>
        <v>30472625.167046126</v>
      </c>
      <c r="AP34" s="30">
        <v>0</v>
      </c>
      <c r="AQ34" s="32">
        <f t="shared" si="78"/>
        <v>1017737916.6070106</v>
      </c>
      <c r="AR34" s="31">
        <f t="shared" si="22"/>
        <v>11007529.584304793</v>
      </c>
      <c r="AS34" s="31">
        <f t="shared" si="23"/>
        <v>10382106.690054581</v>
      </c>
      <c r="AT34" s="31">
        <f t="shared" si="79"/>
        <v>21389636.274359375</v>
      </c>
      <c r="AU34" s="33">
        <f t="shared" si="80"/>
        <v>4243509755.4361258</v>
      </c>
    </row>
    <row r="35" spans="1:47" ht="15" customHeight="1" x14ac:dyDescent="0.2">
      <c r="A35" s="41" t="s">
        <v>78</v>
      </c>
      <c r="B35" s="78" t="s">
        <v>110</v>
      </c>
      <c r="C35" s="35">
        <v>30</v>
      </c>
      <c r="D35" s="30">
        <f>Vigencia_2021!D35*1.03</f>
        <v>2876731.9514660002</v>
      </c>
      <c r="E35" s="30">
        <f t="shared" si="72"/>
        <v>1035623502.52776</v>
      </c>
      <c r="F35" s="30">
        <v>0</v>
      </c>
      <c r="G35" s="30">
        <v>0</v>
      </c>
      <c r="H35" s="30">
        <f t="shared" si="7"/>
        <v>0</v>
      </c>
      <c r="I35" s="30">
        <f t="shared" si="8"/>
        <v>0</v>
      </c>
      <c r="J35" s="30">
        <f t="shared" si="26"/>
        <v>43255860.124387197</v>
      </c>
      <c r="K35" s="30">
        <f t="shared" si="81"/>
        <v>30205685.490392998</v>
      </c>
      <c r="L35" s="30">
        <v>0</v>
      </c>
      <c r="M35" s="30">
        <f t="shared" si="82"/>
        <v>96040925.185474396</v>
      </c>
      <c r="N35" s="30">
        <f t="shared" si="86"/>
        <v>43406054.083152436</v>
      </c>
      <c r="O35" s="30"/>
      <c r="P35" s="30">
        <f t="shared" si="11"/>
        <v>1248532027.4111671</v>
      </c>
      <c r="Q35" s="30"/>
      <c r="R35" s="30"/>
      <c r="S35" s="30"/>
      <c r="T35" s="30"/>
      <c r="U35" s="30">
        <f t="shared" si="73"/>
        <v>0</v>
      </c>
      <c r="V35" s="30">
        <f t="shared" si="74"/>
        <v>1248532027.4111671</v>
      </c>
      <c r="W35" s="30">
        <f t="shared" si="84"/>
        <v>64726468.907985002</v>
      </c>
      <c r="X35" s="30">
        <v>0</v>
      </c>
      <c r="Y35" s="30">
        <f t="shared" si="85"/>
        <v>5753463.9029320003</v>
      </c>
      <c r="Z35" s="30">
        <f t="shared" si="75"/>
        <v>70479932.810917005</v>
      </c>
      <c r="AA35" s="30"/>
      <c r="AB35" s="30"/>
      <c r="AC35" s="30"/>
      <c r="AD35" s="30"/>
      <c r="AE35" s="30">
        <f t="shared" si="76"/>
        <v>0</v>
      </c>
      <c r="AF35" s="30">
        <f t="shared" si="77"/>
        <v>70479932.810917005</v>
      </c>
      <c r="AG35" s="30">
        <f t="shared" si="28"/>
        <v>124274820.3033312</v>
      </c>
      <c r="AH35" s="30">
        <f t="shared" si="29"/>
        <v>88241954.653749898</v>
      </c>
      <c r="AI35" s="30">
        <f t="shared" si="30"/>
        <v>86511720.248774394</v>
      </c>
      <c r="AJ35" s="31">
        <f t="shared" si="16"/>
        <v>47900535.295036882</v>
      </c>
      <c r="AK35" s="31">
        <f t="shared" si="17"/>
        <v>6939433.6117237378</v>
      </c>
      <c r="AL35" s="30">
        <f t="shared" si="18"/>
        <v>36282759.091521129</v>
      </c>
      <c r="AM35" s="31">
        <f t="shared" si="19"/>
        <v>6769836.9269460831</v>
      </c>
      <c r="AN35" s="31">
        <f t="shared" si="20"/>
        <v>6769836.9269460831</v>
      </c>
      <c r="AO35" s="30">
        <f t="shared" si="21"/>
        <v>12460198.384423796</v>
      </c>
      <c r="AP35" s="30">
        <v>0</v>
      </c>
      <c r="AQ35" s="32">
        <f t="shared" si="78"/>
        <v>416151095.44245327</v>
      </c>
      <c r="AR35" s="31">
        <f t="shared" si="22"/>
        <v>4500957.8791122902</v>
      </c>
      <c r="AS35" s="31">
        <f t="shared" si="23"/>
        <v>4245223.6490025204</v>
      </c>
      <c r="AT35" s="31">
        <f t="shared" si="79"/>
        <v>8746181.5281148106</v>
      </c>
      <c r="AU35" s="33">
        <f t="shared" si="80"/>
        <v>1735163055.6645374</v>
      </c>
    </row>
    <row r="36" spans="1:47" ht="15" customHeight="1" x14ac:dyDescent="0.2">
      <c r="A36" s="41" t="s">
        <v>78</v>
      </c>
      <c r="B36" s="78" t="s">
        <v>111</v>
      </c>
      <c r="C36" s="35">
        <v>21</v>
      </c>
      <c r="D36" s="30">
        <f>Vigencia_2021!D36*1.03</f>
        <v>3019764.155388</v>
      </c>
      <c r="E36" s="30">
        <f t="shared" si="72"/>
        <v>760980567.157776</v>
      </c>
      <c r="F36" s="30">
        <v>0</v>
      </c>
      <c r="G36" s="30">
        <v>0</v>
      </c>
      <c r="H36" s="30">
        <f t="shared" si="7"/>
        <v>0</v>
      </c>
      <c r="I36" s="30">
        <f t="shared" si="8"/>
        <v>0</v>
      </c>
      <c r="J36" s="30">
        <f t="shared" si="26"/>
        <v>31784590.529289633</v>
      </c>
      <c r="K36" s="30">
        <f t="shared" si="81"/>
        <v>22195266.542101797</v>
      </c>
      <c r="L36" s="30">
        <v>0</v>
      </c>
      <c r="M36" s="30">
        <f t="shared" si="82"/>
        <v>70571281.493334755</v>
      </c>
      <c r="N36" s="30">
        <f t="shared" si="86"/>
        <v>31894953.690849666</v>
      </c>
      <c r="O36" s="30"/>
      <c r="P36" s="30">
        <f t="shared" si="11"/>
        <v>917426659.41335177</v>
      </c>
      <c r="Q36" s="30"/>
      <c r="R36" s="30"/>
      <c r="S36" s="30"/>
      <c r="T36" s="30"/>
      <c r="U36" s="30">
        <f t="shared" si="73"/>
        <v>0</v>
      </c>
      <c r="V36" s="30">
        <f t="shared" si="74"/>
        <v>917426659.41335177</v>
      </c>
      <c r="W36" s="30">
        <f t="shared" si="84"/>
        <v>47561285.447361</v>
      </c>
      <c r="X36" s="30">
        <v>0</v>
      </c>
      <c r="Y36" s="30">
        <f t="shared" si="85"/>
        <v>4227669.8175432002</v>
      </c>
      <c r="Z36" s="30">
        <f t="shared" si="75"/>
        <v>51788955.264904201</v>
      </c>
      <c r="AA36" s="30"/>
      <c r="AB36" s="30"/>
      <c r="AC36" s="30"/>
      <c r="AD36" s="30"/>
      <c r="AE36" s="30">
        <f t="shared" si="76"/>
        <v>0</v>
      </c>
      <c r="AF36" s="30">
        <f t="shared" si="77"/>
        <v>51788955.264904201</v>
      </c>
      <c r="AG36" s="30">
        <f t="shared" si="28"/>
        <v>91317668.058933124</v>
      </c>
      <c r="AH36" s="30">
        <f t="shared" si="29"/>
        <v>64840564.67975086</v>
      </c>
      <c r="AI36" s="30">
        <f t="shared" si="30"/>
        <v>63569181.058579266</v>
      </c>
      <c r="AJ36" s="31">
        <f t="shared" si="16"/>
        <v>35197517.656761706</v>
      </c>
      <c r="AK36" s="31">
        <f t="shared" si="17"/>
        <v>5099125.4183725053</v>
      </c>
      <c r="AL36" s="30">
        <f t="shared" si="18"/>
        <v>26660726.146251787</v>
      </c>
      <c r="AM36" s="31">
        <f t="shared" si="19"/>
        <v>4974505.0509753125</v>
      </c>
      <c r="AN36" s="31">
        <f t="shared" si="20"/>
        <v>4974505.0509753125</v>
      </c>
      <c r="AO36" s="30">
        <f t="shared" si="21"/>
        <v>9155806.9224322755</v>
      </c>
      <c r="AP36" s="30">
        <v>0</v>
      </c>
      <c r="AQ36" s="32">
        <f t="shared" si="78"/>
        <v>305789600.04303223</v>
      </c>
      <c r="AR36" s="31">
        <f t="shared" si="22"/>
        <v>3307323.0486175828</v>
      </c>
      <c r="AS36" s="31">
        <f t="shared" si="23"/>
        <v>3119408.4454866322</v>
      </c>
      <c r="AT36" s="31">
        <f t="shared" si="79"/>
        <v>6426731.4941042149</v>
      </c>
      <c r="AU36" s="33">
        <f t="shared" si="80"/>
        <v>1275005214.7212882</v>
      </c>
    </row>
    <row r="37" spans="1:47" ht="15" customHeight="1" x14ac:dyDescent="0.2">
      <c r="A37" s="41" t="s">
        <v>78</v>
      </c>
      <c r="B37" s="78" t="s">
        <v>112</v>
      </c>
      <c r="C37" s="35">
        <v>90</v>
      </c>
      <c r="D37" s="30">
        <f>Vigencia_2021!D37*1.03</f>
        <v>3149751.2524409997</v>
      </c>
      <c r="E37" s="30">
        <f t="shared" si="72"/>
        <v>3401731352.6362796</v>
      </c>
      <c r="F37" s="30">
        <v>0</v>
      </c>
      <c r="G37" s="30">
        <v>0</v>
      </c>
      <c r="H37" s="30">
        <f t="shared" si="7"/>
        <v>0</v>
      </c>
      <c r="I37" s="30">
        <f t="shared" si="8"/>
        <v>0</v>
      </c>
      <c r="J37" s="30">
        <f t="shared" si="26"/>
        <v>142083310.40308073</v>
      </c>
      <c r="K37" s="30">
        <f t="shared" si="81"/>
        <v>99217164.451891497</v>
      </c>
      <c r="L37" s="30">
        <v>0</v>
      </c>
      <c r="M37" s="30">
        <f t="shared" si="82"/>
        <v>315467373.56017673</v>
      </c>
      <c r="N37" s="30">
        <f t="shared" si="86"/>
        <v>142576655.2308692</v>
      </c>
      <c r="O37" s="30"/>
      <c r="P37" s="30">
        <f t="shared" si="11"/>
        <v>4101075856.2822981</v>
      </c>
      <c r="Q37" s="30"/>
      <c r="R37" s="30"/>
      <c r="S37" s="30"/>
      <c r="T37" s="30"/>
      <c r="U37" s="30">
        <f t="shared" si="73"/>
        <v>0</v>
      </c>
      <c r="V37" s="30">
        <f t="shared" si="74"/>
        <v>4101075856.2822981</v>
      </c>
      <c r="W37" s="30">
        <f t="shared" si="84"/>
        <v>212608209.53976747</v>
      </c>
      <c r="X37" s="30">
        <v>0</v>
      </c>
      <c r="Y37" s="30">
        <f t="shared" si="85"/>
        <v>18898507.514645997</v>
      </c>
      <c r="Z37" s="30">
        <f t="shared" si="75"/>
        <v>231506717.05441347</v>
      </c>
      <c r="AA37" s="30"/>
      <c r="AB37" s="30"/>
      <c r="AC37" s="30"/>
      <c r="AD37" s="30"/>
      <c r="AE37" s="30">
        <f t="shared" si="76"/>
        <v>0</v>
      </c>
      <c r="AF37" s="30">
        <f t="shared" si="77"/>
        <v>231506717.05441347</v>
      </c>
      <c r="AG37" s="30">
        <f t="shared" si="28"/>
        <v>408207762.31635356</v>
      </c>
      <c r="AH37" s="30">
        <f t="shared" si="29"/>
        <v>289849953.22228467</v>
      </c>
      <c r="AI37" s="30">
        <f t="shared" si="30"/>
        <v>284166620.80616146</v>
      </c>
      <c r="AJ37" s="31">
        <f t="shared" si="16"/>
        <v>157339759.40433034</v>
      </c>
      <c r="AK37" s="31">
        <f t="shared" si="17"/>
        <v>22794083.785198655</v>
      </c>
      <c r="AL37" s="30">
        <f t="shared" si="18"/>
        <v>119178638.62737903</v>
      </c>
      <c r="AM37" s="31">
        <f t="shared" si="19"/>
        <v>22237006.470418565</v>
      </c>
      <c r="AN37" s="31">
        <f t="shared" si="20"/>
        <v>22237006.470418565</v>
      </c>
      <c r="AO37" s="30">
        <f t="shared" si="21"/>
        <v>40928240.234897695</v>
      </c>
      <c r="AP37" s="30">
        <v>0</v>
      </c>
      <c r="AQ37" s="32">
        <f t="shared" si="78"/>
        <v>1366939071.3374422</v>
      </c>
      <c r="AR37" s="31">
        <f t="shared" si="22"/>
        <v>14784378.200089324</v>
      </c>
      <c r="AS37" s="31">
        <f t="shared" si="23"/>
        <v>13944363.323656579</v>
      </c>
      <c r="AT37" s="31">
        <f t="shared" si="79"/>
        <v>28728741.523745902</v>
      </c>
      <c r="AU37" s="33">
        <f t="shared" si="80"/>
        <v>5699521644.6741543</v>
      </c>
    </row>
    <row r="38" spans="1:47" ht="15" customHeight="1" x14ac:dyDescent="0.2">
      <c r="A38" s="41" t="s">
        <v>78</v>
      </c>
      <c r="B38" s="35">
        <v>10</v>
      </c>
      <c r="C38" s="35">
        <v>99</v>
      </c>
      <c r="D38" s="30">
        <f>Vigencia_2021!D38*1.03</f>
        <v>3257227.71</v>
      </c>
      <c r="E38" s="30">
        <f t="shared" si="72"/>
        <v>3869586519.4800005</v>
      </c>
      <c r="F38" s="30">
        <v>0</v>
      </c>
      <c r="G38" s="30">
        <v>0</v>
      </c>
      <c r="H38" s="30">
        <f t="shared" si="7"/>
        <v>0</v>
      </c>
      <c r="I38" s="30">
        <f t="shared" si="8"/>
        <v>0</v>
      </c>
      <c r="J38" s="30">
        <f t="shared" si="26"/>
        <v>161624656.85385939</v>
      </c>
      <c r="K38" s="30">
        <f t="shared" si="81"/>
        <v>112862940.15149999</v>
      </c>
      <c r="L38" s="30">
        <v>0</v>
      </c>
      <c r="M38" s="30">
        <f t="shared" si="82"/>
        <v>358854997.50536716</v>
      </c>
      <c r="N38" s="30">
        <f t="shared" si="86"/>
        <v>162185853.5790464</v>
      </c>
      <c r="O38" s="30"/>
      <c r="P38" s="30">
        <f t="shared" si="11"/>
        <v>4665114967.5697737</v>
      </c>
      <c r="Q38" s="30"/>
      <c r="R38" s="30"/>
      <c r="S38" s="30"/>
      <c r="T38" s="30"/>
      <c r="U38" s="30">
        <f t="shared" si="73"/>
        <v>0</v>
      </c>
      <c r="V38" s="30">
        <f t="shared" si="74"/>
        <v>4665114967.5697737</v>
      </c>
      <c r="W38" s="30">
        <f t="shared" si="84"/>
        <v>241849157.46750003</v>
      </c>
      <c r="X38" s="30">
        <v>0</v>
      </c>
      <c r="Y38" s="30">
        <f t="shared" si="85"/>
        <v>21497702.886000004</v>
      </c>
      <c r="Z38" s="30">
        <f t="shared" si="75"/>
        <v>263346860.35350004</v>
      </c>
      <c r="AA38" s="30"/>
      <c r="AB38" s="30"/>
      <c r="AC38" s="30"/>
      <c r="AD38" s="30"/>
      <c r="AE38" s="30">
        <f t="shared" si="76"/>
        <v>0</v>
      </c>
      <c r="AF38" s="30">
        <f t="shared" si="77"/>
        <v>263346860.35350004</v>
      </c>
      <c r="AG38" s="30">
        <f t="shared" si="28"/>
        <v>464350382.33759999</v>
      </c>
      <c r="AH38" s="30">
        <f t="shared" si="29"/>
        <v>329714299.98187321</v>
      </c>
      <c r="AI38" s="30">
        <f t="shared" si="30"/>
        <v>323249313.70771879</v>
      </c>
      <c r="AJ38" s="31">
        <f t="shared" si="16"/>
        <v>178979392.80166364</v>
      </c>
      <c r="AK38" s="31">
        <f t="shared" si="17"/>
        <v>25929055.000403289</v>
      </c>
      <c r="AL38" s="30">
        <f t="shared" si="18"/>
        <v>135569804.20722651</v>
      </c>
      <c r="AM38" s="31">
        <f t="shared" si="19"/>
        <v>25295360.377248947</v>
      </c>
      <c r="AN38" s="31">
        <f t="shared" si="20"/>
        <v>25295360.377248947</v>
      </c>
      <c r="AO38" s="30">
        <f t="shared" si="21"/>
        <v>46557282.236958846</v>
      </c>
      <c r="AP38" s="30">
        <v>0</v>
      </c>
      <c r="AQ38" s="32">
        <f t="shared" si="78"/>
        <v>1554940251.0279424</v>
      </c>
      <c r="AR38" s="31">
        <f t="shared" si="22"/>
        <v>16817739.160273012</v>
      </c>
      <c r="AS38" s="31">
        <f t="shared" si="23"/>
        <v>15862193.320508879</v>
      </c>
      <c r="AT38" s="31">
        <f t="shared" si="79"/>
        <v>32679932.48078189</v>
      </c>
      <c r="AU38" s="33">
        <f t="shared" si="80"/>
        <v>6483402078.9512167</v>
      </c>
    </row>
    <row r="39" spans="1:47" ht="15" customHeight="1" x14ac:dyDescent="0.2">
      <c r="A39" s="41" t="s">
        <v>78</v>
      </c>
      <c r="B39" s="35">
        <v>11</v>
      </c>
      <c r="C39" s="35">
        <v>97</v>
      </c>
      <c r="D39" s="30">
        <f>Vigencia_2021!D39*1.03</f>
        <v>3394362.5952590001</v>
      </c>
      <c r="E39" s="30">
        <f t="shared" si="72"/>
        <v>3951038060.8814764</v>
      </c>
      <c r="F39" s="30">
        <v>0</v>
      </c>
      <c r="G39" s="30">
        <v>0</v>
      </c>
      <c r="H39" s="30">
        <f t="shared" si="7"/>
        <v>0</v>
      </c>
      <c r="I39" s="30">
        <f t="shared" si="8"/>
        <v>0</v>
      </c>
      <c r="J39" s="30">
        <f t="shared" si="26"/>
        <v>165026719.93294016</v>
      </c>
      <c r="K39" s="30">
        <f t="shared" si="81"/>
        <v>115238610.10904305</v>
      </c>
      <c r="L39" s="30">
        <v>0</v>
      </c>
      <c r="M39" s="30">
        <f t="shared" si="82"/>
        <v>366408593.35838425</v>
      </c>
      <c r="N39" s="30">
        <f t="shared" si="86"/>
        <v>165599729.37715176</v>
      </c>
      <c r="O39" s="30"/>
      <c r="P39" s="30">
        <f t="shared" si="11"/>
        <v>4763311713.6589956</v>
      </c>
      <c r="Q39" s="30"/>
      <c r="R39" s="30"/>
      <c r="S39" s="30"/>
      <c r="T39" s="30"/>
      <c r="U39" s="30">
        <f t="shared" si="73"/>
        <v>0</v>
      </c>
      <c r="V39" s="30">
        <f t="shared" si="74"/>
        <v>4763311713.6589956</v>
      </c>
      <c r="W39" s="30">
        <f t="shared" si="84"/>
        <v>246939878.80509228</v>
      </c>
      <c r="X39" s="30">
        <v>0</v>
      </c>
      <c r="Y39" s="30">
        <f t="shared" si="85"/>
        <v>21950211.449341536</v>
      </c>
      <c r="Z39" s="30">
        <f t="shared" si="75"/>
        <v>268890090.25443381</v>
      </c>
      <c r="AA39" s="30"/>
      <c r="AB39" s="30"/>
      <c r="AC39" s="30"/>
      <c r="AD39" s="30"/>
      <c r="AE39" s="30">
        <f t="shared" si="76"/>
        <v>0</v>
      </c>
      <c r="AF39" s="30">
        <f t="shared" si="77"/>
        <v>268890090.25443381</v>
      </c>
      <c r="AG39" s="30">
        <f t="shared" si="28"/>
        <v>474124567.30577707</v>
      </c>
      <c r="AH39" s="30">
        <f t="shared" si="29"/>
        <v>336654508.66319793</v>
      </c>
      <c r="AI39" s="30">
        <f t="shared" si="30"/>
        <v>330053439.86588031</v>
      </c>
      <c r="AJ39" s="31">
        <f t="shared" si="16"/>
        <v>182746758.47481954</v>
      </c>
      <c r="AK39" s="31">
        <f t="shared" si="17"/>
        <v>26474839.798400342</v>
      </c>
      <c r="AL39" s="30">
        <f t="shared" si="18"/>
        <v>138423434.55366954</v>
      </c>
      <c r="AM39" s="31">
        <f t="shared" si="19"/>
        <v>25827806.436449513</v>
      </c>
      <c r="AN39" s="31">
        <f t="shared" si="20"/>
        <v>25827806.436449513</v>
      </c>
      <c r="AO39" s="30">
        <f t="shared" si="21"/>
        <v>47537273.867220536</v>
      </c>
      <c r="AP39" s="30">
        <v>0</v>
      </c>
      <c r="AQ39" s="32">
        <f t="shared" si="78"/>
        <v>1587670435.4018643</v>
      </c>
      <c r="AR39" s="31">
        <f t="shared" si="22"/>
        <v>17171738.423655882</v>
      </c>
      <c r="AS39" s="31">
        <f t="shared" si="23"/>
        <v>16196079.14770503</v>
      </c>
      <c r="AT39" s="31">
        <f t="shared" si="79"/>
        <v>33367817.571360912</v>
      </c>
      <c r="AU39" s="33">
        <f t="shared" si="80"/>
        <v>6619872239.3152933</v>
      </c>
    </row>
    <row r="40" spans="1:47" ht="15" customHeight="1" x14ac:dyDescent="0.2">
      <c r="A40" s="41" t="s">
        <v>79</v>
      </c>
      <c r="B40" s="35">
        <v>12</v>
      </c>
      <c r="C40" s="35">
        <v>90</v>
      </c>
      <c r="D40" s="30">
        <f>Vigencia_2021!D40*1.03</f>
        <v>3601238.9874450001</v>
      </c>
      <c r="E40" s="30">
        <f t="shared" si="72"/>
        <v>3889338106.4406004</v>
      </c>
      <c r="F40" s="30">
        <v>0</v>
      </c>
      <c r="G40" s="30">
        <v>0</v>
      </c>
      <c r="H40" s="30">
        <f t="shared" si="7"/>
        <v>0</v>
      </c>
      <c r="I40" s="30">
        <f t="shared" si="8"/>
        <v>0</v>
      </c>
      <c r="J40" s="30">
        <f t="shared" si="26"/>
        <v>162449639.9492768</v>
      </c>
      <c r="K40" s="30">
        <f t="shared" si="81"/>
        <v>113439028.10451749</v>
      </c>
      <c r="L40" s="30">
        <v>0</v>
      </c>
      <c r="M40" s="30">
        <f t="shared" si="82"/>
        <v>360686706.30779123</v>
      </c>
      <c r="N40" s="30">
        <f t="shared" si="86"/>
        <v>163013701.19910067</v>
      </c>
      <c r="O40" s="30"/>
      <c r="P40" s="30">
        <f t="shared" si="11"/>
        <v>4688927182.0012865</v>
      </c>
      <c r="Q40" s="30"/>
      <c r="R40" s="30"/>
      <c r="S40" s="30"/>
      <c r="T40" s="30"/>
      <c r="U40" s="30">
        <f t="shared" si="73"/>
        <v>0</v>
      </c>
      <c r="V40" s="30">
        <f t="shared" si="74"/>
        <v>4688927182.0012865</v>
      </c>
      <c r="W40" s="30">
        <f t="shared" si="84"/>
        <v>243083631.65253752</v>
      </c>
      <c r="X40" s="30">
        <v>0</v>
      </c>
      <c r="Y40" s="30">
        <f t="shared" si="85"/>
        <v>21607433.924670003</v>
      </c>
      <c r="Z40" s="30">
        <f t="shared" si="75"/>
        <v>264691065.57720754</v>
      </c>
      <c r="AA40" s="30"/>
      <c r="AB40" s="30"/>
      <c r="AC40" s="30"/>
      <c r="AD40" s="30"/>
      <c r="AE40" s="30">
        <f t="shared" si="76"/>
        <v>0</v>
      </c>
      <c r="AF40" s="30">
        <f t="shared" si="77"/>
        <v>264691065.57720754</v>
      </c>
      <c r="AG40" s="30">
        <f t="shared" si="28"/>
        <v>466720572.77287197</v>
      </c>
      <c r="AH40" s="30">
        <f t="shared" si="29"/>
        <v>331397265.49652469</v>
      </c>
      <c r="AI40" s="30">
        <f t="shared" si="30"/>
        <v>324899279.89855361</v>
      </c>
      <c r="AJ40" s="31">
        <f t="shared" si="16"/>
        <v>179892959.92912832</v>
      </c>
      <c r="AK40" s="31">
        <f t="shared" si="17"/>
        <v>26061405.054360855</v>
      </c>
      <c r="AL40" s="30">
        <f t="shared" si="18"/>
        <v>136261795.13792428</v>
      </c>
      <c r="AM40" s="31">
        <f t="shared" si="19"/>
        <v>25424475.854490705</v>
      </c>
      <c r="AN40" s="31">
        <f t="shared" si="20"/>
        <v>25424475.854490705</v>
      </c>
      <c r="AO40" s="30">
        <f t="shared" si="21"/>
        <v>46794925.25233613</v>
      </c>
      <c r="AP40" s="30">
        <v>0</v>
      </c>
      <c r="AQ40" s="32">
        <f t="shared" si="78"/>
        <v>1562877155.2506812</v>
      </c>
      <c r="AR40" s="31">
        <f t="shared" si="22"/>
        <v>16903582.191778474</v>
      </c>
      <c r="AS40" s="31">
        <f t="shared" si="23"/>
        <v>15943158.945435129</v>
      </c>
      <c r="AT40" s="31">
        <f t="shared" si="79"/>
        <v>32846741.137213603</v>
      </c>
      <c r="AU40" s="33">
        <f t="shared" si="80"/>
        <v>6516495402.829175</v>
      </c>
    </row>
    <row r="41" spans="1:47" ht="15" customHeight="1" x14ac:dyDescent="0.2">
      <c r="A41" s="41" t="s">
        <v>79</v>
      </c>
      <c r="B41" s="35">
        <v>13</v>
      </c>
      <c r="C41" s="35">
        <v>53</v>
      </c>
      <c r="D41" s="30">
        <f>Vigencia_2021!D41*1.03</f>
        <v>3901789.0336870002</v>
      </c>
      <c r="E41" s="30">
        <f t="shared" si="72"/>
        <v>2481537825.424932</v>
      </c>
      <c r="F41" s="30">
        <v>0</v>
      </c>
      <c r="G41" s="30">
        <v>0</v>
      </c>
      <c r="H41" s="30">
        <f t="shared" si="7"/>
        <v>0</v>
      </c>
      <c r="I41" s="30">
        <f t="shared" si="8"/>
        <v>0</v>
      </c>
      <c r="J41" s="30">
        <f t="shared" si="26"/>
        <v>103648722.54053499</v>
      </c>
      <c r="K41" s="30">
        <f t="shared" si="81"/>
        <v>72378186.574893847</v>
      </c>
      <c r="L41" s="30">
        <v>0</v>
      </c>
      <c r="M41" s="30">
        <f t="shared" si="82"/>
        <v>230131112.37321717</v>
      </c>
      <c r="N41" s="30">
        <f t="shared" si="86"/>
        <v>104008613.93824518</v>
      </c>
      <c r="O41" s="30"/>
      <c r="P41" s="30">
        <f t="shared" si="11"/>
        <v>2991704460.8518233</v>
      </c>
      <c r="Q41" s="30"/>
      <c r="R41" s="30"/>
      <c r="S41" s="30"/>
      <c r="T41" s="30"/>
      <c r="U41" s="30">
        <f t="shared" si="73"/>
        <v>0</v>
      </c>
      <c r="V41" s="30">
        <f t="shared" si="74"/>
        <v>2991704460.8518233</v>
      </c>
      <c r="W41" s="30">
        <f t="shared" si="84"/>
        <v>155096114.08905825</v>
      </c>
      <c r="X41" s="30">
        <v>0</v>
      </c>
      <c r="Y41" s="30">
        <f t="shared" si="85"/>
        <v>13786321.252360733</v>
      </c>
      <c r="Z41" s="30">
        <f t="shared" si="75"/>
        <v>168882435.34141898</v>
      </c>
      <c r="AA41" s="30"/>
      <c r="AB41" s="30"/>
      <c r="AC41" s="30"/>
      <c r="AD41" s="30"/>
      <c r="AE41" s="30">
        <f t="shared" si="76"/>
        <v>0</v>
      </c>
      <c r="AF41" s="30">
        <f t="shared" si="77"/>
        <v>168882435.34141898</v>
      </c>
      <c r="AG41" s="30">
        <f t="shared" si="28"/>
        <v>297784539.05099183</v>
      </c>
      <c r="AH41" s="30">
        <f t="shared" si="29"/>
        <v>211443393.98269141</v>
      </c>
      <c r="AI41" s="30">
        <f t="shared" si="30"/>
        <v>207297445.08106998</v>
      </c>
      <c r="AJ41" s="31">
        <f t="shared" si="16"/>
        <v>114778189.08377834</v>
      </c>
      <c r="AK41" s="31">
        <f t="shared" si="17"/>
        <v>16628115.287540041</v>
      </c>
      <c r="AL41" s="30">
        <f t="shared" si="18"/>
        <v>86939934.133038431</v>
      </c>
      <c r="AM41" s="31">
        <f t="shared" si="19"/>
        <v>16221731.512630356</v>
      </c>
      <c r="AN41" s="31">
        <f t="shared" si="20"/>
        <v>16221731.512630356</v>
      </c>
      <c r="AO41" s="30">
        <f t="shared" si="21"/>
        <v>29856848.099502694</v>
      </c>
      <c r="AP41" s="30">
        <v>0</v>
      </c>
      <c r="AQ41" s="32">
        <f t="shared" si="78"/>
        <v>997171927.74387348</v>
      </c>
      <c r="AR41" s="31">
        <f t="shared" si="22"/>
        <v>10785094.390383566</v>
      </c>
      <c r="AS41" s="31">
        <f t="shared" si="23"/>
        <v>10172309.759941764</v>
      </c>
      <c r="AT41" s="31">
        <f t="shared" si="79"/>
        <v>20957404.150325328</v>
      </c>
      <c r="AU41" s="33">
        <f t="shared" si="80"/>
        <v>4157758823.9371157</v>
      </c>
    </row>
    <row r="42" spans="1:47" ht="15" customHeight="1" x14ac:dyDescent="0.2">
      <c r="A42" s="41" t="s">
        <v>79</v>
      </c>
      <c r="B42" s="35">
        <v>14</v>
      </c>
      <c r="C42" s="35">
        <v>21</v>
      </c>
      <c r="D42" s="30">
        <f>Vigencia_2021!D42*1.03</f>
        <v>4175460.35</v>
      </c>
      <c r="E42" s="30">
        <f t="shared" si="72"/>
        <v>1052216008.2</v>
      </c>
      <c r="F42" s="30">
        <v>0</v>
      </c>
      <c r="G42" s="30">
        <v>0</v>
      </c>
      <c r="H42" s="30">
        <f t="shared" si="7"/>
        <v>0</v>
      </c>
      <c r="I42" s="30">
        <f t="shared" si="8"/>
        <v>0</v>
      </c>
      <c r="J42" s="30">
        <f t="shared" si="26"/>
        <v>43948894.902682297</v>
      </c>
      <c r="K42" s="30">
        <f t="shared" si="81"/>
        <v>30689633.572500002</v>
      </c>
      <c r="L42" s="30">
        <v>0</v>
      </c>
      <c r="M42" s="30">
        <f t="shared" si="82"/>
        <v>97579669.325615674</v>
      </c>
      <c r="N42" s="30">
        <f t="shared" si="86"/>
        <v>44101495.232205495</v>
      </c>
      <c r="O42" s="30"/>
      <c r="P42" s="30">
        <f t="shared" si="11"/>
        <v>1268535701.2330034</v>
      </c>
      <c r="Q42" s="30"/>
      <c r="R42" s="30"/>
      <c r="S42" s="30"/>
      <c r="T42" s="30"/>
      <c r="U42" s="30">
        <f t="shared" si="73"/>
        <v>0</v>
      </c>
      <c r="V42" s="30">
        <f t="shared" si="74"/>
        <v>1268535701.2330034</v>
      </c>
      <c r="W42" s="30">
        <f t="shared" si="84"/>
        <v>65763500.512500003</v>
      </c>
      <c r="X42" s="30">
        <v>0</v>
      </c>
      <c r="Y42" s="30">
        <f t="shared" si="85"/>
        <v>5845644.4900000002</v>
      </c>
      <c r="Z42" s="30">
        <f t="shared" si="75"/>
        <v>71609145.002499998</v>
      </c>
      <c r="AA42" s="30"/>
      <c r="AB42" s="30"/>
      <c r="AC42" s="30"/>
      <c r="AD42" s="30"/>
      <c r="AE42" s="30">
        <f t="shared" si="76"/>
        <v>0</v>
      </c>
      <c r="AF42" s="30">
        <f t="shared" si="77"/>
        <v>71609145.002499998</v>
      </c>
      <c r="AG42" s="30">
        <f t="shared" si="28"/>
        <v>126265920.98399998</v>
      </c>
      <c r="AH42" s="30">
        <f t="shared" si="29"/>
        <v>89655745.601471886</v>
      </c>
      <c r="AI42" s="30">
        <f t="shared" si="30"/>
        <v>87897789.805364594</v>
      </c>
      <c r="AJ42" s="31">
        <f t="shared" si="16"/>
        <v>48667985.919367343</v>
      </c>
      <c r="AK42" s="31">
        <f t="shared" si="17"/>
        <v>7050615.5144940186</v>
      </c>
      <c r="AL42" s="30">
        <f t="shared" si="18"/>
        <v>36864072.55588454</v>
      </c>
      <c r="AM42" s="31">
        <f t="shared" si="19"/>
        <v>6878301.5932425894</v>
      </c>
      <c r="AN42" s="31">
        <f t="shared" si="20"/>
        <v>6878301.5932425894</v>
      </c>
      <c r="AO42" s="30">
        <f t="shared" si="21"/>
        <v>12659832.625889115</v>
      </c>
      <c r="AP42" s="30">
        <v>0</v>
      </c>
      <c r="AQ42" s="32">
        <f t="shared" si="78"/>
        <v>422818566.19295663</v>
      </c>
      <c r="AR42" s="31">
        <f t="shared" si="22"/>
        <v>4573071.1219629962</v>
      </c>
      <c r="AS42" s="31">
        <f t="shared" si="23"/>
        <v>4313239.5807615742</v>
      </c>
      <c r="AT42" s="31">
        <f t="shared" si="79"/>
        <v>8886310.7027245704</v>
      </c>
      <c r="AU42" s="33">
        <f t="shared" si="80"/>
        <v>1762963412.4284601</v>
      </c>
    </row>
    <row r="43" spans="1:47" ht="15" customHeight="1" x14ac:dyDescent="0.2">
      <c r="A43" s="41" t="s">
        <v>79</v>
      </c>
      <c r="B43" s="35">
        <v>15</v>
      </c>
      <c r="C43" s="35">
        <v>140</v>
      </c>
      <c r="D43" s="30">
        <f>Vigencia_2021!D43*1.03</f>
        <v>4616406.4400000004</v>
      </c>
      <c r="E43" s="30">
        <f t="shared" si="72"/>
        <v>7755562819.2000008</v>
      </c>
      <c r="F43" s="30">
        <v>0</v>
      </c>
      <c r="G43" s="30">
        <v>0</v>
      </c>
      <c r="H43" s="30">
        <f t="shared" si="7"/>
        <v>0</v>
      </c>
      <c r="I43" s="30">
        <f t="shared" si="8"/>
        <v>0</v>
      </c>
      <c r="J43" s="30">
        <f t="shared" si="26"/>
        <v>323933881.06236118</v>
      </c>
      <c r="K43" s="30">
        <f t="shared" si="81"/>
        <v>226203915.56</v>
      </c>
      <c r="L43" s="30">
        <v>0</v>
      </c>
      <c r="M43" s="30">
        <f t="shared" si="82"/>
        <v>719229938.9420898</v>
      </c>
      <c r="N43" s="30">
        <f t="shared" si="86"/>
        <v>325058651.48271662</v>
      </c>
      <c r="O43" s="30"/>
      <c r="P43" s="30">
        <f t="shared" si="11"/>
        <v>9349989206.2471695</v>
      </c>
      <c r="Q43" s="30"/>
      <c r="R43" s="30"/>
      <c r="S43" s="30"/>
      <c r="T43" s="30"/>
      <c r="U43" s="30">
        <f t="shared" si="73"/>
        <v>0</v>
      </c>
      <c r="V43" s="30">
        <f t="shared" si="74"/>
        <v>9349989206.2471695</v>
      </c>
      <c r="W43" s="30">
        <f t="shared" si="84"/>
        <v>484722676.20000005</v>
      </c>
      <c r="X43" s="30">
        <v>0</v>
      </c>
      <c r="Y43" s="30">
        <f t="shared" si="85"/>
        <v>43086460.106666669</v>
      </c>
      <c r="Z43" s="30">
        <f t="shared" si="75"/>
        <v>527809136.30666673</v>
      </c>
      <c r="AA43" s="30"/>
      <c r="AB43" s="30"/>
      <c r="AC43" s="30"/>
      <c r="AD43" s="30"/>
      <c r="AE43" s="30">
        <f t="shared" si="76"/>
        <v>0</v>
      </c>
      <c r="AF43" s="30">
        <f t="shared" si="77"/>
        <v>527809136.30666673</v>
      </c>
      <c r="AG43" s="30">
        <f t="shared" si="28"/>
        <v>930667538.30400014</v>
      </c>
      <c r="AH43" s="30">
        <f t="shared" si="29"/>
        <v>660825117.36721683</v>
      </c>
      <c r="AI43" s="30">
        <f t="shared" si="30"/>
        <v>647867762.12472236</v>
      </c>
      <c r="AJ43" s="31">
        <f t="shared" si="16"/>
        <v>358716859.59928024</v>
      </c>
      <c r="AK43" s="31">
        <f t="shared" si="17"/>
        <v>51967933.495163955</v>
      </c>
      <c r="AL43" s="30">
        <f t="shared" si="18"/>
        <v>271713819.45404363</v>
      </c>
      <c r="AM43" s="31">
        <f t="shared" si="19"/>
        <v>50697860.21128162</v>
      </c>
      <c r="AN43" s="31">
        <f t="shared" si="20"/>
        <v>50697860.21128162</v>
      </c>
      <c r="AO43" s="30">
        <f t="shared" si="21"/>
        <v>93311759.605902493</v>
      </c>
      <c r="AP43" s="30">
        <v>0</v>
      </c>
      <c r="AQ43" s="32">
        <f t="shared" si="78"/>
        <v>3116466510.3728933</v>
      </c>
      <c r="AR43" s="31">
        <f t="shared" si="22"/>
        <v>33706710.491627589</v>
      </c>
      <c r="AS43" s="31">
        <f t="shared" si="23"/>
        <v>31791571.561509602</v>
      </c>
      <c r="AT43" s="31">
        <f t="shared" si="79"/>
        <v>65498282.053137191</v>
      </c>
      <c r="AU43" s="33">
        <f t="shared" si="80"/>
        <v>12994264852.926731</v>
      </c>
    </row>
    <row r="44" spans="1:47" ht="15" customHeight="1" x14ac:dyDescent="0.2">
      <c r="A44" s="41" t="s">
        <v>79</v>
      </c>
      <c r="B44" s="35">
        <v>16</v>
      </c>
      <c r="C44" s="35">
        <v>36</v>
      </c>
      <c r="D44" s="30">
        <f>Vigencia_2021!D44*1.03</f>
        <v>4977138.9503460005</v>
      </c>
      <c r="E44" s="30">
        <f t="shared" si="72"/>
        <v>2150124026.5494723</v>
      </c>
      <c r="F44" s="30">
        <v>0</v>
      </c>
      <c r="G44" s="30">
        <v>0</v>
      </c>
      <c r="H44" s="30">
        <f t="shared" si="7"/>
        <v>0</v>
      </c>
      <c r="I44" s="30">
        <f t="shared" si="8"/>
        <v>0</v>
      </c>
      <c r="J44" s="30">
        <f t="shared" si="26"/>
        <v>89806250.935305655</v>
      </c>
      <c r="K44" s="30">
        <f t="shared" si="81"/>
        <v>62711950.774359606</v>
      </c>
      <c r="L44" s="30">
        <v>0</v>
      </c>
      <c r="M44" s="30">
        <f t="shared" si="82"/>
        <v>199396692.20455292</v>
      </c>
      <c r="N44" s="30">
        <f t="shared" si="86"/>
        <v>90118078.195497692</v>
      </c>
      <c r="O44" s="30"/>
      <c r="P44" s="30">
        <f t="shared" si="11"/>
        <v>2592156998.6591883</v>
      </c>
      <c r="Q44" s="30"/>
      <c r="R44" s="30"/>
      <c r="S44" s="30"/>
      <c r="T44" s="30"/>
      <c r="U44" s="30">
        <f t="shared" si="73"/>
        <v>0</v>
      </c>
      <c r="V44" s="30">
        <f t="shared" si="74"/>
        <v>2592156998.6591883</v>
      </c>
      <c r="W44" s="30">
        <f t="shared" si="84"/>
        <v>134382751.65934202</v>
      </c>
      <c r="X44" s="30">
        <v>0</v>
      </c>
      <c r="Y44" s="30">
        <f t="shared" si="85"/>
        <v>11945133.480830401</v>
      </c>
      <c r="Z44" s="30">
        <f t="shared" si="75"/>
        <v>146327885.14017242</v>
      </c>
      <c r="AA44" s="30"/>
      <c r="AB44" s="30"/>
      <c r="AC44" s="30"/>
      <c r="AD44" s="30"/>
      <c r="AE44" s="30">
        <f t="shared" si="76"/>
        <v>0</v>
      </c>
      <c r="AF44" s="30">
        <f t="shared" si="77"/>
        <v>146327885.14017242</v>
      </c>
      <c r="AG44" s="30">
        <f t="shared" si="28"/>
        <v>258014883.18593666</v>
      </c>
      <c r="AH44" s="30">
        <f t="shared" si="29"/>
        <v>183204751.90802354</v>
      </c>
      <c r="AI44" s="30">
        <f t="shared" si="30"/>
        <v>179612501.87061131</v>
      </c>
      <c r="AJ44" s="31">
        <f t="shared" si="16"/>
        <v>99449357.388139322</v>
      </c>
      <c r="AK44" s="31">
        <f t="shared" si="17"/>
        <v>14407400.858317466</v>
      </c>
      <c r="AL44" s="30">
        <f t="shared" si="18"/>
        <v>75328950.995967537</v>
      </c>
      <c r="AM44" s="31">
        <f t="shared" si="19"/>
        <v>14055290.360753901</v>
      </c>
      <c r="AN44" s="31">
        <f t="shared" si="20"/>
        <v>14055290.360753901</v>
      </c>
      <c r="AO44" s="30">
        <f t="shared" si="21"/>
        <v>25869412.828630142</v>
      </c>
      <c r="AP44" s="30">
        <v>0</v>
      </c>
      <c r="AQ44" s="32">
        <f t="shared" si="78"/>
        <v>863997839.75713372</v>
      </c>
      <c r="AR44" s="31">
        <f t="shared" si="22"/>
        <v>9344725.8146858048</v>
      </c>
      <c r="AS44" s="31">
        <f t="shared" si="23"/>
        <v>8813779.6636685245</v>
      </c>
      <c r="AT44" s="31">
        <f t="shared" si="79"/>
        <v>18158505.478354327</v>
      </c>
      <c r="AU44" s="33">
        <f t="shared" si="80"/>
        <v>3602482723.5564947</v>
      </c>
    </row>
    <row r="45" spans="1:47" ht="15" customHeight="1" x14ac:dyDescent="0.2">
      <c r="A45" s="41" t="s">
        <v>79</v>
      </c>
      <c r="B45" s="35">
        <v>17</v>
      </c>
      <c r="C45" s="35">
        <v>60</v>
      </c>
      <c r="D45" s="30">
        <f>Vigencia_2021!D45*1.03</f>
        <v>5235063.58</v>
      </c>
      <c r="E45" s="30">
        <f t="shared" si="72"/>
        <v>3769245777.6000004</v>
      </c>
      <c r="F45" s="30">
        <v>0</v>
      </c>
      <c r="G45" s="30">
        <v>0</v>
      </c>
      <c r="H45" s="30">
        <f t="shared" si="7"/>
        <v>0</v>
      </c>
      <c r="I45" s="30">
        <f t="shared" si="8"/>
        <v>0</v>
      </c>
      <c r="J45" s="30">
        <f t="shared" si="26"/>
        <v>157433630.78604168</v>
      </c>
      <c r="K45" s="30">
        <f t="shared" si="81"/>
        <v>109936335.18000001</v>
      </c>
      <c r="L45" s="30">
        <v>0</v>
      </c>
      <c r="M45" s="30">
        <f t="shared" si="82"/>
        <v>349549668.241952</v>
      </c>
      <c r="N45" s="30">
        <f t="shared" si="86"/>
        <v>157980275.33738211</v>
      </c>
      <c r="O45" s="30"/>
      <c r="P45" s="30">
        <f t="shared" si="11"/>
        <v>4544145687.1453762</v>
      </c>
      <c r="Q45" s="30"/>
      <c r="R45" s="30"/>
      <c r="S45" s="30"/>
      <c r="T45" s="30"/>
      <c r="U45" s="30">
        <f t="shared" si="73"/>
        <v>0</v>
      </c>
      <c r="V45" s="30">
        <f t="shared" si="74"/>
        <v>4544145687.1453762</v>
      </c>
      <c r="W45" s="30">
        <f t="shared" si="84"/>
        <v>235577861.09999999</v>
      </c>
      <c r="X45" s="30">
        <v>0</v>
      </c>
      <c r="Y45" s="30">
        <f t="shared" si="85"/>
        <v>20940254.32</v>
      </c>
      <c r="Z45" s="30">
        <f t="shared" si="75"/>
        <v>256518115.41999999</v>
      </c>
      <c r="AA45" s="30"/>
      <c r="AB45" s="30"/>
      <c r="AC45" s="30"/>
      <c r="AD45" s="30"/>
      <c r="AE45" s="30">
        <f t="shared" si="76"/>
        <v>0</v>
      </c>
      <c r="AF45" s="30">
        <f t="shared" si="77"/>
        <v>256518115.41999999</v>
      </c>
      <c r="AG45" s="30">
        <f t="shared" si="28"/>
        <v>452309493.31199998</v>
      </c>
      <c r="AH45" s="30">
        <f t="shared" si="29"/>
        <v>321164606.80352503</v>
      </c>
      <c r="AI45" s="30">
        <f t="shared" si="30"/>
        <v>314867261.57208335</v>
      </c>
      <c r="AJ45" s="31">
        <f t="shared" si="16"/>
        <v>174338347.83095595</v>
      </c>
      <c r="AK45" s="31">
        <f t="shared" si="17"/>
        <v>25256698.76753699</v>
      </c>
      <c r="AL45" s="30">
        <f t="shared" si="18"/>
        <v>132054396.38207535</v>
      </c>
      <c r="AM45" s="31">
        <f t="shared" si="19"/>
        <v>24639436.233003117</v>
      </c>
      <c r="AN45" s="31">
        <f t="shared" si="20"/>
        <v>24639436.233003117</v>
      </c>
      <c r="AO45" s="30">
        <f t="shared" si="21"/>
        <v>45350023.472732857</v>
      </c>
      <c r="AP45" s="30">
        <v>0</v>
      </c>
      <c r="AQ45" s="32">
        <f t="shared" si="78"/>
        <v>1514619700.6069155</v>
      </c>
      <c r="AR45" s="31">
        <f t="shared" si="22"/>
        <v>16381644.912065612</v>
      </c>
      <c r="AS45" s="31">
        <f t="shared" si="23"/>
        <v>15450876.95954592</v>
      </c>
      <c r="AT45" s="31">
        <f t="shared" si="79"/>
        <v>31832521.871611532</v>
      </c>
      <c r="AU45" s="33">
        <f t="shared" si="80"/>
        <v>6315283503.1722918</v>
      </c>
    </row>
    <row r="46" spans="1:47" ht="15" customHeight="1" x14ac:dyDescent="0.2">
      <c r="A46" s="41" t="s">
        <v>79</v>
      </c>
      <c r="B46" s="35">
        <v>18</v>
      </c>
      <c r="C46" s="35">
        <v>15</v>
      </c>
      <c r="D46" s="30">
        <f>Vigencia_2021!D46*1.03</f>
        <v>5637900.7000000002</v>
      </c>
      <c r="E46" s="30">
        <f t="shared" si="72"/>
        <v>1014822126</v>
      </c>
      <c r="F46" s="30">
        <v>0</v>
      </c>
      <c r="G46" s="30">
        <v>0</v>
      </c>
      <c r="H46" s="30">
        <f t="shared" si="7"/>
        <v>0</v>
      </c>
      <c r="I46" s="30">
        <f t="shared" si="8"/>
        <v>0</v>
      </c>
      <c r="J46" s="30">
        <f t="shared" si="26"/>
        <v>42387029.481510416</v>
      </c>
      <c r="K46" s="30">
        <f t="shared" si="81"/>
        <v>29598978.674999997</v>
      </c>
      <c r="L46" s="30">
        <v>0</v>
      </c>
      <c r="M46" s="30">
        <f t="shared" si="82"/>
        <v>94111861.735310048</v>
      </c>
      <c r="N46" s="30">
        <f t="shared" si="86"/>
        <v>42534206.66721011</v>
      </c>
      <c r="O46" s="30"/>
      <c r="P46" s="30">
        <f t="shared" si="11"/>
        <v>1223454202.5590305</v>
      </c>
      <c r="Q46" s="30"/>
      <c r="R46" s="30"/>
      <c r="S46" s="30"/>
      <c r="T46" s="30"/>
      <c r="U46" s="30">
        <f t="shared" si="73"/>
        <v>0</v>
      </c>
      <c r="V46" s="30">
        <f t="shared" si="74"/>
        <v>1223454202.5590305</v>
      </c>
      <c r="W46" s="30">
        <f t="shared" si="84"/>
        <v>63426382.875</v>
      </c>
      <c r="X46" s="30">
        <v>0</v>
      </c>
      <c r="Y46" s="30">
        <f t="shared" si="85"/>
        <v>5637900.7000000002</v>
      </c>
      <c r="Z46" s="30">
        <f t="shared" si="75"/>
        <v>69064283.575000003</v>
      </c>
      <c r="AA46" s="30"/>
      <c r="AB46" s="30"/>
      <c r="AC46" s="30"/>
      <c r="AD46" s="30"/>
      <c r="AE46" s="30">
        <f t="shared" si="76"/>
        <v>0</v>
      </c>
      <c r="AF46" s="30">
        <f t="shared" si="77"/>
        <v>69064283.575000003</v>
      </c>
      <c r="AG46" s="30">
        <f t="shared" si="28"/>
        <v>121778655.12</v>
      </c>
      <c r="AH46" s="30">
        <f t="shared" si="29"/>
        <v>86469540.142281249</v>
      </c>
      <c r="AI46" s="30">
        <f t="shared" si="30"/>
        <v>84774058.963020831</v>
      </c>
      <c r="AJ46" s="31">
        <f t="shared" si="16"/>
        <v>46938412.411458723</v>
      </c>
      <c r="AK46" s="31">
        <f t="shared" si="17"/>
        <v>6800049.201178275</v>
      </c>
      <c r="AL46" s="30">
        <f t="shared" si="18"/>
        <v>35553989.097902231</v>
      </c>
      <c r="AM46" s="31">
        <f t="shared" si="19"/>
        <v>6633859.0096767098</v>
      </c>
      <c r="AN46" s="31">
        <f t="shared" si="20"/>
        <v>6633859.0096767098</v>
      </c>
      <c r="AO46" s="30">
        <f t="shared" si="21"/>
        <v>12209924.73036674</v>
      </c>
      <c r="AP46" s="30">
        <v>0</v>
      </c>
      <c r="AQ46" s="32">
        <f t="shared" si="78"/>
        <v>407792347.68556148</v>
      </c>
      <c r="AR46" s="31">
        <f t="shared" si="22"/>
        <v>4410552.3221212793</v>
      </c>
      <c r="AS46" s="31">
        <f t="shared" si="23"/>
        <v>4159954.7309527528</v>
      </c>
      <c r="AT46" s="31">
        <f t="shared" si="79"/>
        <v>8570507.0530740321</v>
      </c>
      <c r="AU46" s="33">
        <f t="shared" si="80"/>
        <v>1700310833.819592</v>
      </c>
    </row>
    <row r="47" spans="1:47" ht="15" customHeight="1" x14ac:dyDescent="0.2">
      <c r="A47" s="41" t="s">
        <v>79</v>
      </c>
      <c r="B47" s="35">
        <v>19</v>
      </c>
      <c r="C47" s="35">
        <v>44</v>
      </c>
      <c r="D47" s="30">
        <f>Vigencia_2021!D47*1.03</f>
        <v>6064427.4173729997</v>
      </c>
      <c r="E47" s="30">
        <f t="shared" si="72"/>
        <v>3202017676.3729439</v>
      </c>
      <c r="F47" s="30">
        <v>0</v>
      </c>
      <c r="G47" s="30">
        <v>0</v>
      </c>
      <c r="H47" s="30">
        <f t="shared" si="7"/>
        <v>0</v>
      </c>
      <c r="I47" s="30">
        <f t="shared" si="8"/>
        <v>0</v>
      </c>
      <c r="J47" s="30">
        <f t="shared" si="26"/>
        <v>133741681.5927183</v>
      </c>
      <c r="K47" s="30">
        <f t="shared" si="81"/>
        <v>93392182.227544203</v>
      </c>
      <c r="L47" s="30">
        <v>0</v>
      </c>
      <c r="M47" s="30">
        <f t="shared" si="82"/>
        <v>296946466.88539898</v>
      </c>
      <c r="N47" s="30">
        <f t="shared" si="86"/>
        <v>134206062.43158191</v>
      </c>
      <c r="O47" s="30"/>
      <c r="P47" s="30">
        <f t="shared" si="11"/>
        <v>3860304069.5101871</v>
      </c>
      <c r="Q47" s="30"/>
      <c r="R47" s="30"/>
      <c r="S47" s="30"/>
      <c r="T47" s="30"/>
      <c r="U47" s="30">
        <f t="shared" si="73"/>
        <v>0</v>
      </c>
      <c r="V47" s="30">
        <f t="shared" si="74"/>
        <v>3860304069.5101871</v>
      </c>
      <c r="W47" s="30">
        <f t="shared" si="84"/>
        <v>200126104.77330899</v>
      </c>
      <c r="X47" s="30">
        <v>0</v>
      </c>
      <c r="Y47" s="30">
        <f t="shared" si="85"/>
        <v>17788987.090960801</v>
      </c>
      <c r="Z47" s="30">
        <f t="shared" si="75"/>
        <v>217915091.86426979</v>
      </c>
      <c r="AA47" s="30"/>
      <c r="AB47" s="30"/>
      <c r="AC47" s="30"/>
      <c r="AD47" s="30"/>
      <c r="AE47" s="30">
        <f t="shared" si="76"/>
        <v>0</v>
      </c>
      <c r="AF47" s="30">
        <f t="shared" si="77"/>
        <v>217915091.86426979</v>
      </c>
      <c r="AG47" s="30">
        <f t="shared" si="28"/>
        <v>384242121.16475332</v>
      </c>
      <c r="AH47" s="30">
        <f t="shared" si="29"/>
        <v>272833030.44914538</v>
      </c>
      <c r="AI47" s="30">
        <f t="shared" si="30"/>
        <v>267483363.18543661</v>
      </c>
      <c r="AJ47" s="31">
        <f t="shared" si="16"/>
        <v>148102433.31487435</v>
      </c>
      <c r="AK47" s="31">
        <f t="shared" si="17"/>
        <v>21455856.336323671</v>
      </c>
      <c r="AL47" s="30">
        <f t="shared" si="18"/>
        <v>112181729.82272351</v>
      </c>
      <c r="AM47" s="31">
        <f t="shared" si="19"/>
        <v>20931484.707844</v>
      </c>
      <c r="AN47" s="31">
        <f t="shared" si="20"/>
        <v>20931484.707844</v>
      </c>
      <c r="AO47" s="30">
        <f t="shared" si="21"/>
        <v>38525366.970386155</v>
      </c>
      <c r="AP47" s="30">
        <v>0</v>
      </c>
      <c r="AQ47" s="32">
        <f t="shared" si="78"/>
        <v>1286686870.6593311</v>
      </c>
      <c r="AR47" s="31">
        <f t="shared" si="22"/>
        <v>13916395.924146485</v>
      </c>
      <c r="AS47" s="31">
        <f t="shared" si="23"/>
        <v>13125697.834284279</v>
      </c>
      <c r="AT47" s="31">
        <f t="shared" si="79"/>
        <v>27042093.758430764</v>
      </c>
      <c r="AU47" s="33">
        <f t="shared" si="80"/>
        <v>5364906032.0337877</v>
      </c>
    </row>
    <row r="48" spans="1:47" ht="15" customHeight="1" x14ac:dyDescent="0.2">
      <c r="A48" s="41" t="s">
        <v>79</v>
      </c>
      <c r="B48" s="35">
        <v>20</v>
      </c>
      <c r="C48" s="35">
        <v>20</v>
      </c>
      <c r="D48" s="30">
        <f>Vigencia_2021!D48*1.03</f>
        <v>6528213.0429650005</v>
      </c>
      <c r="E48" s="30">
        <f t="shared" si="72"/>
        <v>1566771130.3116002</v>
      </c>
      <c r="F48" s="30">
        <v>0</v>
      </c>
      <c r="G48" s="30">
        <v>0</v>
      </c>
      <c r="H48" s="30">
        <f t="shared" si="7"/>
        <v>0</v>
      </c>
      <c r="I48" s="30">
        <f t="shared" si="8"/>
        <v>0</v>
      </c>
      <c r="J48" s="30">
        <f t="shared" si="26"/>
        <v>65440802.27444429</v>
      </c>
      <c r="K48" s="30">
        <f t="shared" si="81"/>
        <v>45697491.300755002</v>
      </c>
      <c r="L48" s="30">
        <v>0</v>
      </c>
      <c r="M48" s="30">
        <f t="shared" si="82"/>
        <v>145298120.93076175</v>
      </c>
      <c r="N48" s="30">
        <f t="shared" si="86"/>
        <v>65668027.282341667</v>
      </c>
      <c r="O48" s="30"/>
      <c r="P48" s="30">
        <f t="shared" si="11"/>
        <v>1888875572.0999031</v>
      </c>
      <c r="Q48" s="30"/>
      <c r="R48" s="30"/>
      <c r="S48" s="30"/>
      <c r="T48" s="30"/>
      <c r="U48" s="30">
        <f t="shared" si="73"/>
        <v>0</v>
      </c>
      <c r="V48" s="30">
        <f t="shared" si="74"/>
        <v>1888875572.0999031</v>
      </c>
      <c r="W48" s="30">
        <f t="shared" si="84"/>
        <v>97923195.644475028</v>
      </c>
      <c r="X48" s="30">
        <v>0</v>
      </c>
      <c r="Y48" s="30">
        <f t="shared" si="85"/>
        <v>8704284.0572866686</v>
      </c>
      <c r="Z48" s="30">
        <f t="shared" si="75"/>
        <v>106627479.70176169</v>
      </c>
      <c r="AA48" s="30"/>
      <c r="AB48" s="30"/>
      <c r="AC48" s="30"/>
      <c r="AD48" s="30"/>
      <c r="AE48" s="30">
        <f t="shared" si="76"/>
        <v>0</v>
      </c>
      <c r="AF48" s="30">
        <f t="shared" si="77"/>
        <v>106627479.70176169</v>
      </c>
      <c r="AG48" s="30">
        <f t="shared" si="28"/>
        <v>188012535.63739204</v>
      </c>
      <c r="AH48" s="30">
        <f t="shared" si="29"/>
        <v>133499236.63986637</v>
      </c>
      <c r="AI48" s="30">
        <f t="shared" si="30"/>
        <v>130881604.54888858</v>
      </c>
      <c r="AJ48" s="31">
        <f t="shared" si="16"/>
        <v>72467625.197337508</v>
      </c>
      <c r="AK48" s="31">
        <f t="shared" si="17"/>
        <v>10498510.527257247</v>
      </c>
      <c r="AL48" s="30">
        <f t="shared" si="18"/>
        <v>54891357.075128049</v>
      </c>
      <c r="AM48" s="31">
        <f t="shared" si="19"/>
        <v>10241931.57857791</v>
      </c>
      <c r="AN48" s="31">
        <f t="shared" si="20"/>
        <v>10241931.57857791</v>
      </c>
      <c r="AO48" s="30">
        <f t="shared" si="21"/>
        <v>18850749.388190083</v>
      </c>
      <c r="AP48" s="30">
        <v>0</v>
      </c>
      <c r="AQ48" s="32">
        <f t="shared" si="78"/>
        <v>629585482.17121553</v>
      </c>
      <c r="AR48" s="31">
        <f t="shared" si="22"/>
        <v>6809396.3168363255</v>
      </c>
      <c r="AS48" s="31">
        <f t="shared" si="23"/>
        <v>6422501.8442886546</v>
      </c>
      <c r="AT48" s="31">
        <f t="shared" si="79"/>
        <v>13231898.16112498</v>
      </c>
      <c r="AU48" s="33">
        <f t="shared" si="80"/>
        <v>2625088533.9728804</v>
      </c>
    </row>
    <row r="49" spans="1:47" ht="15" customHeight="1" x14ac:dyDescent="0.2">
      <c r="A49" s="41" t="s">
        <v>79</v>
      </c>
      <c r="B49" s="35">
        <v>21</v>
      </c>
      <c r="C49" s="35">
        <v>47</v>
      </c>
      <c r="D49" s="30">
        <f>Vigencia_2021!D49*1.03</f>
        <v>6957996.6286810003</v>
      </c>
      <c r="E49" s="30">
        <f t="shared" si="72"/>
        <v>3924310098.5760841</v>
      </c>
      <c r="F49" s="30">
        <v>0</v>
      </c>
      <c r="G49" s="30">
        <v>0</v>
      </c>
      <c r="H49" s="30">
        <f t="shared" si="7"/>
        <v>0</v>
      </c>
      <c r="I49" s="30">
        <f t="shared" si="8"/>
        <v>0</v>
      </c>
      <c r="J49" s="30">
        <f t="shared" si="26"/>
        <v>163910348.01199588</v>
      </c>
      <c r="K49" s="30">
        <f t="shared" si="81"/>
        <v>114459044.54180244</v>
      </c>
      <c r="L49" s="30">
        <v>0</v>
      </c>
      <c r="M49" s="30">
        <f t="shared" si="82"/>
        <v>363929914.35789144</v>
      </c>
      <c r="N49" s="30">
        <f t="shared" si="86"/>
        <v>164479481.16481531</v>
      </c>
      <c r="O49" s="30"/>
      <c r="P49" s="30">
        <f t="shared" si="11"/>
        <v>4731088886.6525888</v>
      </c>
      <c r="Q49" s="30"/>
      <c r="R49" s="30"/>
      <c r="S49" s="30"/>
      <c r="T49" s="30"/>
      <c r="U49" s="30">
        <f t="shared" si="73"/>
        <v>0</v>
      </c>
      <c r="V49" s="30">
        <f t="shared" si="74"/>
        <v>4731088886.6525888</v>
      </c>
      <c r="W49" s="30">
        <f t="shared" si="84"/>
        <v>245269381.16100526</v>
      </c>
      <c r="X49" s="30">
        <v>0</v>
      </c>
      <c r="Y49" s="30">
        <f t="shared" si="85"/>
        <v>21801722.769867133</v>
      </c>
      <c r="Z49" s="30">
        <f t="shared" si="75"/>
        <v>267071103.93087238</v>
      </c>
      <c r="AA49" s="30"/>
      <c r="AB49" s="30"/>
      <c r="AC49" s="30"/>
      <c r="AD49" s="30"/>
      <c r="AE49" s="30">
        <f t="shared" si="76"/>
        <v>0</v>
      </c>
      <c r="AF49" s="30">
        <f t="shared" si="77"/>
        <v>267071103.93087238</v>
      </c>
      <c r="AG49" s="30">
        <f t="shared" si="28"/>
        <v>470917211.82913005</v>
      </c>
      <c r="AH49" s="30">
        <f t="shared" si="29"/>
        <v>334377109.9444716</v>
      </c>
      <c r="AI49" s="30">
        <f t="shared" si="30"/>
        <v>327820696.02399176</v>
      </c>
      <c r="AJ49" s="31">
        <f t="shared" si="16"/>
        <v>181510514.12670568</v>
      </c>
      <c r="AK49" s="31">
        <f t="shared" si="17"/>
        <v>26295742.935938057</v>
      </c>
      <c r="AL49" s="30">
        <f t="shared" si="18"/>
        <v>137487028.40320385</v>
      </c>
      <c r="AM49" s="31">
        <f t="shared" si="19"/>
        <v>25653086.622003995</v>
      </c>
      <c r="AN49" s="31">
        <f t="shared" si="20"/>
        <v>25653086.622003995</v>
      </c>
      <c r="AO49" s="30">
        <f t="shared" si="21"/>
        <v>47215693.957220718</v>
      </c>
      <c r="AP49" s="30">
        <v>0</v>
      </c>
      <c r="AQ49" s="32">
        <f t="shared" si="78"/>
        <v>1576930170.4646699</v>
      </c>
      <c r="AR49" s="31">
        <f t="shared" si="22"/>
        <v>17055575.13435486</v>
      </c>
      <c r="AS49" s="31">
        <f t="shared" si="23"/>
        <v>16086515.993342903</v>
      </c>
      <c r="AT49" s="31">
        <f t="shared" si="79"/>
        <v>33142091.127697762</v>
      </c>
      <c r="AU49" s="33">
        <f t="shared" si="80"/>
        <v>6575090161.048131</v>
      </c>
    </row>
    <row r="50" spans="1:47" ht="15" customHeight="1" x14ac:dyDescent="0.2">
      <c r="A50" s="41" t="s">
        <v>79</v>
      </c>
      <c r="B50" s="35">
        <v>22</v>
      </c>
      <c r="C50" s="35">
        <v>1</v>
      </c>
      <c r="D50" s="30">
        <f>Vigencia_2021!D50*1.03</f>
        <v>7483546.3700000001</v>
      </c>
      <c r="E50" s="30">
        <f t="shared" si="72"/>
        <v>89802556.439999998</v>
      </c>
      <c r="F50" s="30">
        <v>0</v>
      </c>
      <c r="G50" s="30">
        <v>0</v>
      </c>
      <c r="H50" s="30">
        <f t="shared" si="7"/>
        <v>0</v>
      </c>
      <c r="I50" s="30">
        <f t="shared" si="8"/>
        <v>0</v>
      </c>
      <c r="J50" s="30">
        <f t="shared" si="26"/>
        <v>3750867.7726024301</v>
      </c>
      <c r="K50" s="30">
        <f t="shared" si="81"/>
        <v>2619241.2294999999</v>
      </c>
      <c r="L50" s="30">
        <v>0</v>
      </c>
      <c r="M50" s="30">
        <f t="shared" si="82"/>
        <v>8328046.4217614587</v>
      </c>
      <c r="N50" s="30">
        <f t="shared" si="86"/>
        <v>3763891.6190350777</v>
      </c>
      <c r="O50" s="30"/>
      <c r="P50" s="30">
        <f t="shared" si="11"/>
        <v>108264603.48289895</v>
      </c>
      <c r="Q50" s="30"/>
      <c r="R50" s="30"/>
      <c r="S50" s="30"/>
      <c r="T50" s="30"/>
      <c r="U50" s="30">
        <f t="shared" si="73"/>
        <v>0</v>
      </c>
      <c r="V50" s="30">
        <f t="shared" si="74"/>
        <v>108264603.48289895</v>
      </c>
      <c r="W50" s="30">
        <f t="shared" si="84"/>
        <v>5612659.7774999999</v>
      </c>
      <c r="X50" s="30">
        <v>0</v>
      </c>
      <c r="Y50" s="30">
        <f t="shared" si="85"/>
        <v>498903.09133333334</v>
      </c>
      <c r="Z50" s="30">
        <f t="shared" si="75"/>
        <v>6111562.8688333333</v>
      </c>
      <c r="AA50" s="30"/>
      <c r="AB50" s="30"/>
      <c r="AC50" s="30"/>
      <c r="AD50" s="30"/>
      <c r="AE50" s="30">
        <f t="shared" si="76"/>
        <v>0</v>
      </c>
      <c r="AF50" s="30">
        <f t="shared" si="77"/>
        <v>6111562.8688333333</v>
      </c>
      <c r="AG50" s="30">
        <f t="shared" si="28"/>
        <v>10776306.7728</v>
      </c>
      <c r="AH50" s="30">
        <f t="shared" si="29"/>
        <v>7651770.2561089583</v>
      </c>
      <c r="AI50" s="30">
        <f t="shared" si="30"/>
        <v>7501735.5452048602</v>
      </c>
      <c r="AJ50" s="31">
        <f t="shared" si="16"/>
        <v>4153623.8930841149</v>
      </c>
      <c r="AK50" s="31">
        <f t="shared" si="17"/>
        <v>601742.69612208765</v>
      </c>
      <c r="AL50" s="30">
        <f t="shared" si="18"/>
        <v>3146205.6559767099</v>
      </c>
      <c r="AM50" s="31">
        <f t="shared" si="19"/>
        <v>587036.37107287033</v>
      </c>
      <c r="AN50" s="31">
        <f t="shared" si="20"/>
        <v>587036.37107287033</v>
      </c>
      <c r="AO50" s="30">
        <f t="shared" si="21"/>
        <v>1080467.6274144528</v>
      </c>
      <c r="AP50" s="30">
        <v>0</v>
      </c>
      <c r="AQ50" s="32">
        <f t="shared" si="78"/>
        <v>36085925.18885693</v>
      </c>
      <c r="AR50" s="31">
        <f t="shared" si="22"/>
        <v>390293.88864435267</v>
      </c>
      <c r="AS50" s="31">
        <f t="shared" si="23"/>
        <v>368118.27407301683</v>
      </c>
      <c r="AT50" s="31">
        <f t="shared" si="79"/>
        <v>758412.1627173695</v>
      </c>
      <c r="AU50" s="33">
        <f t="shared" si="80"/>
        <v>150462091.54058921</v>
      </c>
    </row>
    <row r="51" spans="1:47" ht="15" customHeight="1" thickBot="1" x14ac:dyDescent="0.25">
      <c r="A51" s="41" t="s">
        <v>79</v>
      </c>
      <c r="B51" s="35">
        <v>24</v>
      </c>
      <c r="C51" s="35">
        <v>1</v>
      </c>
      <c r="D51" s="30">
        <f>Vigencia_2021!D51*1.03</f>
        <v>8526648.7993560005</v>
      </c>
      <c r="E51" s="30">
        <f t="shared" si="72"/>
        <v>102319785.59227201</v>
      </c>
      <c r="F51" s="30">
        <v>0</v>
      </c>
      <c r="G51" s="30">
        <v>0</v>
      </c>
      <c r="H51" s="30">
        <f t="shared" si="7"/>
        <v>0</v>
      </c>
      <c r="I51" s="30">
        <f t="shared" si="8"/>
        <v>0</v>
      </c>
      <c r="J51" s="30">
        <f t="shared" si="26"/>
        <v>4273686.6464827741</v>
      </c>
      <c r="K51" s="30">
        <f t="shared" si="81"/>
        <v>2984327.0797746</v>
      </c>
      <c r="L51" s="30">
        <v>0</v>
      </c>
      <c r="M51" s="30">
        <f t="shared" si="82"/>
        <v>9488860.4295630753</v>
      </c>
      <c r="N51" s="30">
        <f t="shared" si="86"/>
        <v>4288525.8362275055</v>
      </c>
      <c r="O51" s="30"/>
      <c r="P51" s="30">
        <f t="shared" si="11"/>
        <v>123355185.58431998</v>
      </c>
      <c r="Q51" s="30"/>
      <c r="R51" s="30"/>
      <c r="S51" s="30"/>
      <c r="T51" s="30"/>
      <c r="U51" s="30">
        <f t="shared" si="73"/>
        <v>0</v>
      </c>
      <c r="V51" s="30">
        <f t="shared" si="74"/>
        <v>123355185.58431998</v>
      </c>
      <c r="W51" s="30">
        <f t="shared" si="84"/>
        <v>6394986.5995169999</v>
      </c>
      <c r="X51" s="30">
        <v>0</v>
      </c>
      <c r="Y51" s="30">
        <f t="shared" si="85"/>
        <v>568443.25329040003</v>
      </c>
      <c r="Z51" s="30">
        <f t="shared" si="75"/>
        <v>6963429.8528073998</v>
      </c>
      <c r="AA51" s="30"/>
      <c r="AB51" s="30"/>
      <c r="AC51" s="30"/>
      <c r="AD51" s="30"/>
      <c r="AE51" s="30">
        <f t="shared" si="76"/>
        <v>0</v>
      </c>
      <c r="AF51" s="30">
        <f t="shared" si="77"/>
        <v>6963429.8528073998</v>
      </c>
      <c r="AG51" s="30">
        <f t="shared" si="28"/>
        <v>12278374.271072641</v>
      </c>
      <c r="AH51" s="30">
        <f t="shared" si="29"/>
        <v>8718320.7588248588</v>
      </c>
      <c r="AI51" s="30">
        <f t="shared" si="30"/>
        <v>8547373.2929655481</v>
      </c>
      <c r="AJ51" s="31">
        <f t="shared" si="16"/>
        <v>4732581.3765141498</v>
      </c>
      <c r="AK51" s="31">
        <f t="shared" si="17"/>
        <v>685617.27070726256</v>
      </c>
      <c r="AL51" s="30">
        <f t="shared" si="18"/>
        <v>3584743.0285998052</v>
      </c>
      <c r="AM51" s="31">
        <f t="shared" si="19"/>
        <v>668861.08819377748</v>
      </c>
      <c r="AN51" s="31">
        <f t="shared" si="20"/>
        <v>668861.08819377748</v>
      </c>
      <c r="AO51" s="30">
        <f t="shared" si="21"/>
        <v>1231069.8086897098</v>
      </c>
      <c r="AP51" s="30">
        <v>0</v>
      </c>
      <c r="AQ51" s="32">
        <f t="shared" si="78"/>
        <v>41115801.983761534</v>
      </c>
      <c r="AR51" s="31">
        <f t="shared" si="22"/>
        <v>444695.43615660846</v>
      </c>
      <c r="AS51" s="31">
        <f t="shared" si="23"/>
        <v>419428.84889823856</v>
      </c>
      <c r="AT51" s="31">
        <f t="shared" si="79"/>
        <v>864124.28505484702</v>
      </c>
      <c r="AU51" s="33">
        <f t="shared" si="80"/>
        <v>171434417.4208889</v>
      </c>
    </row>
    <row r="52" spans="1:47" ht="15" customHeight="1" thickTop="1" thickBot="1" x14ac:dyDescent="0.25">
      <c r="A52" s="27" t="s">
        <v>80</v>
      </c>
      <c r="B52" s="39"/>
      <c r="C52" s="64">
        <f t="shared" ref="C52:AU52" si="87">SUM(C53:C83)</f>
        <v>167</v>
      </c>
      <c r="D52" s="61">
        <f t="shared" si="87"/>
        <v>62252596.913460895</v>
      </c>
      <c r="E52" s="61">
        <f t="shared" si="87"/>
        <v>3965111897.0117702</v>
      </c>
      <c r="F52" s="61">
        <f t="shared" si="87"/>
        <v>0</v>
      </c>
      <c r="G52" s="61">
        <f>SUM(G53:G83)</f>
        <v>0</v>
      </c>
      <c r="H52" s="61">
        <f t="shared" si="87"/>
        <v>13463616</v>
      </c>
      <c r="I52" s="61">
        <f t="shared" si="87"/>
        <v>15789312</v>
      </c>
      <c r="J52" s="61">
        <f t="shared" si="87"/>
        <v>166866492.09639665</v>
      </c>
      <c r="K52" s="61">
        <f t="shared" si="87"/>
        <v>125171823.62099603</v>
      </c>
      <c r="L52" s="61">
        <f t="shared" si="87"/>
        <v>240103461.63615698</v>
      </c>
      <c r="M52" s="61">
        <f t="shared" si="87"/>
        <v>368716341.86396331</v>
      </c>
      <c r="N52" s="61">
        <f t="shared" si="87"/>
        <v>167445889.63839802</v>
      </c>
      <c r="O52" s="61">
        <f t="shared" si="87"/>
        <v>0</v>
      </c>
      <c r="P52" s="61">
        <f t="shared" si="87"/>
        <v>5062668833.8676805</v>
      </c>
      <c r="Q52" s="61">
        <f t="shared" si="87"/>
        <v>0</v>
      </c>
      <c r="R52" s="61">
        <f t="shared" si="87"/>
        <v>0</v>
      </c>
      <c r="S52" s="61">
        <f t="shared" si="87"/>
        <v>0</v>
      </c>
      <c r="T52" s="61">
        <f t="shared" si="87"/>
        <v>0</v>
      </c>
      <c r="U52" s="61">
        <f t="shared" si="87"/>
        <v>0</v>
      </c>
      <c r="V52" s="61">
        <f>SUM(V53:V83)</f>
        <v>5062668833.8676805</v>
      </c>
      <c r="W52" s="61">
        <f t="shared" si="87"/>
        <v>247819493.56323564</v>
      </c>
      <c r="X52" s="61">
        <f>+SUM(X53:X83)</f>
        <v>23000000</v>
      </c>
      <c r="Y52" s="61">
        <f t="shared" si="87"/>
        <v>22028399.427843168</v>
      </c>
      <c r="Z52" s="61">
        <f t="shared" si="87"/>
        <v>292847892.99107873</v>
      </c>
      <c r="AA52" s="61">
        <f t="shared" si="87"/>
        <v>0</v>
      </c>
      <c r="AB52" s="61">
        <f t="shared" si="87"/>
        <v>0</v>
      </c>
      <c r="AC52" s="61">
        <f t="shared" si="87"/>
        <v>0</v>
      </c>
      <c r="AD52" s="61">
        <f t="shared" si="87"/>
        <v>0</v>
      </c>
      <c r="AE52" s="61">
        <f t="shared" si="87"/>
        <v>0</v>
      </c>
      <c r="AF52" s="61">
        <f t="shared" si="87"/>
        <v>292847892.99107873</v>
      </c>
      <c r="AG52" s="61">
        <f t="shared" si="87"/>
        <v>484901368.44141233</v>
      </c>
      <c r="AH52" s="61">
        <f t="shared" si="87"/>
        <v>340407643.87664914</v>
      </c>
      <c r="AI52" s="61">
        <f t="shared" si="87"/>
        <v>333732984.19279331</v>
      </c>
      <c r="AJ52" s="61">
        <f t="shared" si="87"/>
        <v>183397713.46246728</v>
      </c>
      <c r="AK52" s="61">
        <f t="shared" si="87"/>
        <v>26569144.776271224</v>
      </c>
      <c r="AL52" s="61">
        <f t="shared" si="87"/>
        <v>138916507.1853379</v>
      </c>
      <c r="AM52" s="61">
        <f t="shared" si="87"/>
        <v>25919806.642418273</v>
      </c>
      <c r="AN52" s="61">
        <f t="shared" si="87"/>
        <v>25919806.642418273</v>
      </c>
      <c r="AO52" s="61">
        <f t="shared" si="87"/>
        <v>47706604.50696104</v>
      </c>
      <c r="AP52" s="61">
        <f t="shared" si="87"/>
        <v>0</v>
      </c>
      <c r="AQ52" s="62">
        <f t="shared" si="87"/>
        <v>1607471579.7267289</v>
      </c>
      <c r="AR52" s="61">
        <f t="shared" si="87"/>
        <v>17232905.192723367</v>
      </c>
      <c r="AS52" s="61">
        <f t="shared" si="87"/>
        <v>16253770.559522819</v>
      </c>
      <c r="AT52" s="63">
        <f t="shared" si="87"/>
        <v>33486675.752246182</v>
      </c>
      <c r="AU52" s="62">
        <f t="shared" si="87"/>
        <v>6962988306.5854874</v>
      </c>
    </row>
    <row r="53" spans="1:47" ht="15" customHeight="1" thickTop="1" x14ac:dyDescent="0.2">
      <c r="A53" s="41" t="s">
        <v>81</v>
      </c>
      <c r="B53" s="35">
        <v>11</v>
      </c>
      <c r="C53" s="35">
        <v>6</v>
      </c>
      <c r="D53" s="30">
        <f>+Vigencia_2021!D53*1.003</f>
        <v>1890322.6589589997</v>
      </c>
      <c r="E53" s="30">
        <f t="shared" ref="E53:E83" si="88">D53*C53*12</f>
        <v>136103231.44504797</v>
      </c>
      <c r="F53" s="30">
        <v>0</v>
      </c>
      <c r="G53" s="30">
        <v>0</v>
      </c>
      <c r="H53" s="30">
        <f t="shared" ref="H53:H57" si="89">(IF(D53&gt;=1947284,0,70123))*12</f>
        <v>841476</v>
      </c>
      <c r="I53" s="30">
        <f>+(IF(D53&lt;(935782*2),109648,0)*12)</f>
        <v>0</v>
      </c>
      <c r="J53" s="30">
        <f t="shared" si="26"/>
        <v>5719813.0795985749</v>
      </c>
      <c r="K53" s="30">
        <f t="shared" si="81"/>
        <v>3969677.5838138992</v>
      </c>
      <c r="L53" s="30">
        <v>0</v>
      </c>
      <c r="M53" s="30">
        <f t="shared" si="82"/>
        <v>12627699.637511749</v>
      </c>
      <c r="N53" s="30">
        <f t="shared" si="86"/>
        <v>5739673.5416805139</v>
      </c>
      <c r="O53" s="30"/>
      <c r="P53" s="30">
        <f t="shared" si="11"/>
        <v>165001571.28765273</v>
      </c>
      <c r="Q53" s="30"/>
      <c r="R53" s="30"/>
      <c r="S53" s="30"/>
      <c r="T53" s="30"/>
      <c r="U53" s="30">
        <f>SUM(Q53:T53)</f>
        <v>0</v>
      </c>
      <c r="V53" s="30">
        <f t="shared" ref="V53:V83" si="90">P53+U53</f>
        <v>165001571.28765273</v>
      </c>
      <c r="W53" s="30">
        <f>+(E53/360)*22.5</f>
        <v>8506451.9653154984</v>
      </c>
      <c r="X53" s="30">
        <v>23000000</v>
      </c>
      <c r="Y53" s="30">
        <f t="shared" si="60"/>
        <v>756129.06358359987</v>
      </c>
      <c r="Z53" s="30">
        <f>SUM(W53:Y53)</f>
        <v>32262581.0288991</v>
      </c>
      <c r="AA53" s="30"/>
      <c r="AB53" s="30"/>
      <c r="AC53" s="30"/>
      <c r="AD53" s="30"/>
      <c r="AE53" s="30">
        <f>SUM(AA53:AD53)</f>
        <v>0</v>
      </c>
      <c r="AF53" s="30">
        <f>Z53+AE53</f>
        <v>32262581.0288991</v>
      </c>
      <c r="AG53" s="30">
        <f t="shared" si="28"/>
        <v>16938250.493405756</v>
      </c>
      <c r="AH53" s="30">
        <f t="shared" si="29"/>
        <v>11668418.682381094</v>
      </c>
      <c r="AI53" s="30">
        <f t="shared" si="30"/>
        <v>11439626.15919715</v>
      </c>
      <c r="AJ53" s="31">
        <f t="shared" si="16"/>
        <v>6295161.9248592127</v>
      </c>
      <c r="AK53" s="31">
        <f t="shared" si="17"/>
        <v>911991.02439128375</v>
      </c>
      <c r="AL53" s="30">
        <f t="shared" si="18"/>
        <v>4768335.9310067892</v>
      </c>
      <c r="AM53" s="31">
        <f t="shared" si="19"/>
        <v>889702.36757317791</v>
      </c>
      <c r="AN53" s="31">
        <f t="shared" si="20"/>
        <v>889702.36757317791</v>
      </c>
      <c r="AO53" s="30">
        <f t="shared" si="21"/>
        <v>1637538.4108482865</v>
      </c>
      <c r="AP53" s="30">
        <v>0</v>
      </c>
      <c r="AQ53" s="32">
        <f>SUM(AG53:AP53)</f>
        <v>55438727.361235932</v>
      </c>
      <c r="AR53" s="31">
        <f t="shared" si="22"/>
        <v>591522.79805354401</v>
      </c>
      <c r="AS53" s="31">
        <f t="shared" si="23"/>
        <v>557913.8127185303</v>
      </c>
      <c r="AT53" s="31">
        <f>SUM(AR53:AS53)</f>
        <v>1149436.6107720742</v>
      </c>
      <c r="AU53" s="33">
        <f>V53+AF53+AQ53</f>
        <v>252702879.67778778</v>
      </c>
    </row>
    <row r="54" spans="1:47" ht="15" customHeight="1" x14ac:dyDescent="0.2">
      <c r="A54" s="41" t="s">
        <v>81</v>
      </c>
      <c r="B54" s="35">
        <v>13</v>
      </c>
      <c r="C54" s="35">
        <v>4</v>
      </c>
      <c r="D54" s="30">
        <f>+Vigencia_2021!D54*1.003</f>
        <v>2137655.7859999998</v>
      </c>
      <c r="E54" s="30">
        <f t="shared" si="88"/>
        <v>102607477.72799999</v>
      </c>
      <c r="F54" s="30">
        <v>0</v>
      </c>
      <c r="G54" s="30">
        <v>0</v>
      </c>
      <c r="H54" s="30">
        <f t="shared" si="89"/>
        <v>0</v>
      </c>
      <c r="I54" s="30">
        <f t="shared" ref="I54:I107" si="91">+(IF(D54&lt;(935782*2),109648,0)*12)</f>
        <v>0</v>
      </c>
      <c r="J54" s="30">
        <f t="shared" si="26"/>
        <v>4285702.9542930545</v>
      </c>
      <c r="K54" s="30">
        <f t="shared" ref="K54:K107" si="92">+IF(D54&lt;1687295,(((D54+(F54/12)+(G54/12))*0.5))*C54,(((D54+(F54/12)+(G54/12))*0.35))*C54)</f>
        <v>2992718.1003999994</v>
      </c>
      <c r="L54" s="30">
        <v>0</v>
      </c>
      <c r="M54" s="30">
        <f t="shared" si="82"/>
        <v>9515540.220835153</v>
      </c>
      <c r="N54" s="30">
        <f t="shared" si="86"/>
        <v>4300583.8673287947</v>
      </c>
      <c r="O54" s="30"/>
      <c r="P54" s="30">
        <f t="shared" si="11"/>
        <v>123702022.87085699</v>
      </c>
      <c r="Q54" s="30"/>
      <c r="R54" s="30"/>
      <c r="S54" s="30"/>
      <c r="T54" s="30"/>
      <c r="U54" s="30">
        <f t="shared" ref="U54:U83" si="93">SUM(Q54:T54)</f>
        <v>0</v>
      </c>
      <c r="V54" s="30">
        <f t="shared" si="90"/>
        <v>123702022.87085699</v>
      </c>
      <c r="W54" s="30">
        <f t="shared" ref="W54:W83" si="94">+(E54/360)*22.5</f>
        <v>6412967.3579999981</v>
      </c>
      <c r="X54" s="30">
        <v>0</v>
      </c>
      <c r="Y54" s="30">
        <f t="shared" si="60"/>
        <v>570041.54293333332</v>
      </c>
      <c r="Z54" s="30">
        <f t="shared" ref="Z54:Z83" si="95">SUM(W54:Y54)</f>
        <v>6983008.9009333318</v>
      </c>
      <c r="AA54" s="30"/>
      <c r="AB54" s="30"/>
      <c r="AC54" s="30"/>
      <c r="AD54" s="30"/>
      <c r="AE54" s="30">
        <f t="shared" ref="AE54:AE83" si="96">SUM(AA54:AD54)</f>
        <v>0</v>
      </c>
      <c r="AF54" s="30">
        <f t="shared" ref="AF54:AF83" si="97">Z54+AE54</f>
        <v>6983008.9009333318</v>
      </c>
      <c r="AG54" s="30">
        <f t="shared" si="28"/>
        <v>12312897.327359999</v>
      </c>
      <c r="AH54" s="30">
        <f t="shared" si="29"/>
        <v>8742834.0267578326</v>
      </c>
      <c r="AI54" s="30">
        <f t="shared" si="30"/>
        <v>8571405.9085861091</v>
      </c>
      <c r="AJ54" s="31">
        <f t="shared" si="16"/>
        <v>4745887.9568185816</v>
      </c>
      <c r="AK54" s="31">
        <f t="shared" si="17"/>
        <v>687545.01807068801</v>
      </c>
      <c r="AL54" s="30">
        <f t="shared" si="18"/>
        <v>3594822.2363694869</v>
      </c>
      <c r="AM54" s="31">
        <f t="shared" si="19"/>
        <v>670741.72226522281</v>
      </c>
      <c r="AN54" s="31">
        <f t="shared" si="20"/>
        <v>670741.72226522281</v>
      </c>
      <c r="AO54" s="30">
        <f t="shared" si="21"/>
        <v>1234531.2027929332</v>
      </c>
      <c r="AP54" s="30">
        <v>0</v>
      </c>
      <c r="AQ54" s="32">
        <f t="shared" ref="AQ54:AQ83" si="98">SUM(AG54:AP54)</f>
        <v>41231407.121286072</v>
      </c>
      <c r="AR54" s="31">
        <f t="shared" si="22"/>
        <v>445945.78455243271</v>
      </c>
      <c r="AS54" s="31">
        <f t="shared" si="23"/>
        <v>420608.15533078235</v>
      </c>
      <c r="AT54" s="31">
        <f t="shared" ref="AT54:AT83" si="99">SUM(AR54:AS54)</f>
        <v>866553.93988321512</v>
      </c>
      <c r="AU54" s="33">
        <f t="shared" ref="AU54:AU83" si="100">V54+AF54+AQ54</f>
        <v>171916438.89307639</v>
      </c>
    </row>
    <row r="55" spans="1:47" ht="15" customHeight="1" x14ac:dyDescent="0.2">
      <c r="A55" s="41" t="s">
        <v>81</v>
      </c>
      <c r="B55" s="35">
        <v>15</v>
      </c>
      <c r="C55" s="35">
        <v>2</v>
      </c>
      <c r="D55" s="30">
        <f>+Vigencia_2021!D55*1.003</f>
        <v>2315717.0424111998</v>
      </c>
      <c r="E55" s="30">
        <f t="shared" si="88"/>
        <v>55577209.017868795</v>
      </c>
      <c r="F55" s="30">
        <v>0</v>
      </c>
      <c r="G55" s="30">
        <v>0</v>
      </c>
      <c r="H55" s="30">
        <f t="shared" si="89"/>
        <v>0</v>
      </c>
      <c r="I55" s="30">
        <f t="shared" si="91"/>
        <v>0</v>
      </c>
      <c r="J55" s="30">
        <f t="shared" si="26"/>
        <v>2321345.5213337271</v>
      </c>
      <c r="K55" s="30">
        <f t="shared" si="92"/>
        <v>1621001.9296878397</v>
      </c>
      <c r="L55" s="30">
        <v>0</v>
      </c>
      <c r="M55" s="30">
        <f t="shared" si="82"/>
        <v>5154080.184810726</v>
      </c>
      <c r="N55" s="30">
        <f t="shared" si="86"/>
        <v>2329405.7488383581</v>
      </c>
      <c r="O55" s="30"/>
      <c r="P55" s="30">
        <f t="shared" si="11"/>
        <v>67003042.402539447</v>
      </c>
      <c r="Q55" s="30"/>
      <c r="R55" s="30"/>
      <c r="S55" s="30"/>
      <c r="T55" s="30"/>
      <c r="U55" s="30">
        <f t="shared" si="93"/>
        <v>0</v>
      </c>
      <c r="V55" s="30">
        <f t="shared" si="90"/>
        <v>67003042.402539447</v>
      </c>
      <c r="W55" s="30">
        <f t="shared" si="94"/>
        <v>3473575.5636167997</v>
      </c>
      <c r="X55" s="30">
        <v>0</v>
      </c>
      <c r="Y55" s="30">
        <f t="shared" si="60"/>
        <v>308762.27232149331</v>
      </c>
      <c r="Z55" s="30">
        <f t="shared" si="95"/>
        <v>3782337.835938293</v>
      </c>
      <c r="AA55" s="30"/>
      <c r="AB55" s="30"/>
      <c r="AC55" s="30"/>
      <c r="AD55" s="30"/>
      <c r="AE55" s="30">
        <f t="shared" si="96"/>
        <v>0</v>
      </c>
      <c r="AF55" s="30">
        <f t="shared" si="97"/>
        <v>3782337.835938293</v>
      </c>
      <c r="AG55" s="30">
        <f t="shared" si="28"/>
        <v>6669265.0821442548</v>
      </c>
      <c r="AH55" s="30">
        <f t="shared" si="29"/>
        <v>4735544.8635208039</v>
      </c>
      <c r="AI55" s="30">
        <f t="shared" si="30"/>
        <v>4642691.0426674541</v>
      </c>
      <c r="AJ55" s="31">
        <f t="shared" si="16"/>
        <v>2570604.139112521</v>
      </c>
      <c r="AK55" s="31">
        <f t="shared" si="17"/>
        <v>372407.87927566015</v>
      </c>
      <c r="AL55" s="30">
        <f t="shared" si="18"/>
        <v>1947130.8645010176</v>
      </c>
      <c r="AM55" s="31">
        <f t="shared" si="19"/>
        <v>363306.39560363174</v>
      </c>
      <c r="AN55" s="31">
        <f t="shared" si="20"/>
        <v>363306.39560363174</v>
      </c>
      <c r="AO55" s="30">
        <f t="shared" si="21"/>
        <v>668682.2463230741</v>
      </c>
      <c r="AP55" s="30">
        <v>0</v>
      </c>
      <c r="AQ55" s="32">
        <f t="shared" si="98"/>
        <v>22332938.90875205</v>
      </c>
      <c r="AR55" s="31">
        <f t="shared" si="22"/>
        <v>241545.96358375112</v>
      </c>
      <c r="AS55" s="31">
        <f t="shared" si="23"/>
        <v>227821.86913712724</v>
      </c>
      <c r="AT55" s="31">
        <f t="shared" si="99"/>
        <v>469367.83272087836</v>
      </c>
      <c r="AU55" s="33">
        <f t="shared" si="100"/>
        <v>93118319.147229791</v>
      </c>
    </row>
    <row r="56" spans="1:47" ht="15" customHeight="1" x14ac:dyDescent="0.2">
      <c r="A56" s="41" t="s">
        <v>81</v>
      </c>
      <c r="B56" s="35">
        <v>16</v>
      </c>
      <c r="C56" s="35">
        <v>6</v>
      </c>
      <c r="D56" s="30">
        <f>+Vigencia_2021!D56*1.003</f>
        <v>2616444.8569999998</v>
      </c>
      <c r="E56" s="30">
        <f t="shared" si="88"/>
        <v>188384029.704</v>
      </c>
      <c r="F56" s="30">
        <v>0</v>
      </c>
      <c r="G56" s="30">
        <v>0</v>
      </c>
      <c r="H56" s="30">
        <f t="shared" si="89"/>
        <v>0</v>
      </c>
      <c r="I56" s="30">
        <f t="shared" si="91"/>
        <v>0</v>
      </c>
      <c r="J56" s="30">
        <f t="shared" si="26"/>
        <v>7868412.8147489578</v>
      </c>
      <c r="K56" s="30">
        <f t="shared" si="92"/>
        <v>5494534.1996999998</v>
      </c>
      <c r="L56" s="30">
        <v>0</v>
      </c>
      <c r="M56" s="30">
        <f t="shared" si="82"/>
        <v>17470225.867585573</v>
      </c>
      <c r="N56" s="30">
        <f t="shared" si="86"/>
        <v>7895733.6925779469</v>
      </c>
      <c r="O56" s="30"/>
      <c r="P56" s="30">
        <f t="shared" si="11"/>
        <v>227112936.27861246</v>
      </c>
      <c r="Q56" s="30"/>
      <c r="R56" s="30"/>
      <c r="S56" s="30"/>
      <c r="T56" s="30"/>
      <c r="U56" s="30">
        <f t="shared" si="93"/>
        <v>0</v>
      </c>
      <c r="V56" s="30">
        <f t="shared" si="90"/>
        <v>227112936.27861246</v>
      </c>
      <c r="W56" s="30">
        <f t="shared" si="94"/>
        <v>11774001.8565</v>
      </c>
      <c r="X56" s="30">
        <v>0</v>
      </c>
      <c r="Y56" s="30">
        <f t="shared" si="60"/>
        <v>1046577.9428</v>
      </c>
      <c r="Z56" s="30">
        <f t="shared" si="95"/>
        <v>12820579.7993</v>
      </c>
      <c r="AA56" s="30"/>
      <c r="AB56" s="30"/>
      <c r="AC56" s="30"/>
      <c r="AD56" s="30"/>
      <c r="AE56" s="30">
        <f t="shared" si="96"/>
        <v>0</v>
      </c>
      <c r="AF56" s="30">
        <f t="shared" si="97"/>
        <v>12820579.7993</v>
      </c>
      <c r="AG56" s="30">
        <f t="shared" si="28"/>
        <v>22606083.564479999</v>
      </c>
      <c r="AH56" s="30">
        <f t="shared" si="29"/>
        <v>16051562.142087875</v>
      </c>
      <c r="AI56" s="30">
        <f t="shared" si="30"/>
        <v>15736825.629497916</v>
      </c>
      <c r="AJ56" s="31">
        <f t="shared" si="16"/>
        <v>8713297.6818627641</v>
      </c>
      <c r="AK56" s="31">
        <f t="shared" si="17"/>
        <v>1262310.5447578994</v>
      </c>
      <c r="AL56" s="30">
        <f t="shared" si="18"/>
        <v>6599978.0323225874</v>
      </c>
      <c r="AM56" s="31">
        <f t="shared" si="19"/>
        <v>1231460.233979058</v>
      </c>
      <c r="AN56" s="31">
        <f t="shared" si="20"/>
        <v>1231460.233979058</v>
      </c>
      <c r="AO56" s="30">
        <f t="shared" si="21"/>
        <v>2266559.5912411278</v>
      </c>
      <c r="AP56" s="30">
        <v>0</v>
      </c>
      <c r="AQ56" s="32">
        <f t="shared" si="98"/>
        <v>75699537.654208288</v>
      </c>
      <c r="AR56" s="31">
        <f t="shared" si="22"/>
        <v>818742.12078574765</v>
      </c>
      <c r="AS56" s="31">
        <f t="shared" si="23"/>
        <v>772223.0482813681</v>
      </c>
      <c r="AT56" s="31">
        <f t="shared" si="99"/>
        <v>1590965.1690671158</v>
      </c>
      <c r="AU56" s="33">
        <f t="shared" si="100"/>
        <v>315633053.73212075</v>
      </c>
    </row>
    <row r="57" spans="1:47" ht="15" customHeight="1" x14ac:dyDescent="0.2">
      <c r="A57" s="41" t="s">
        <v>81</v>
      </c>
      <c r="B57" s="35">
        <v>17</v>
      </c>
      <c r="C57" s="35">
        <v>1</v>
      </c>
      <c r="D57" s="30">
        <f>+Vigencia_2021!D57*1.003</f>
        <v>2800965.3482565</v>
      </c>
      <c r="E57" s="30">
        <f t="shared" si="88"/>
        <v>33611584.179077998</v>
      </c>
      <c r="F57" s="30">
        <v>0</v>
      </c>
      <c r="G57" s="30">
        <v>0</v>
      </c>
      <c r="H57" s="30">
        <f t="shared" si="89"/>
        <v>0</v>
      </c>
      <c r="I57" s="30">
        <f t="shared" si="91"/>
        <v>0</v>
      </c>
      <c r="J57" s="30">
        <f t="shared" si="26"/>
        <v>1403886.6250723116</v>
      </c>
      <c r="K57" s="30">
        <f t="shared" si="92"/>
        <v>980337.87188977492</v>
      </c>
      <c r="L57" s="30">
        <v>0</v>
      </c>
      <c r="M57" s="30">
        <f t="shared" si="82"/>
        <v>3117047.4922874542</v>
      </c>
      <c r="N57" s="30">
        <f t="shared" si="86"/>
        <v>1408761.2314093681</v>
      </c>
      <c r="O57" s="30"/>
      <c r="P57" s="30">
        <f t="shared" si="11"/>
        <v>40521617.399736919</v>
      </c>
      <c r="Q57" s="30"/>
      <c r="R57" s="30"/>
      <c r="S57" s="30"/>
      <c r="T57" s="30"/>
      <c r="U57" s="30">
        <f t="shared" si="93"/>
        <v>0</v>
      </c>
      <c r="V57" s="30">
        <f t="shared" si="90"/>
        <v>40521617.399736919</v>
      </c>
      <c r="W57" s="30">
        <f t="shared" si="94"/>
        <v>2100724.0111923749</v>
      </c>
      <c r="X57" s="30">
        <v>0</v>
      </c>
      <c r="Y57" s="30">
        <f t="shared" si="60"/>
        <v>186731.02321710001</v>
      </c>
      <c r="Z57" s="30">
        <f t="shared" si="95"/>
        <v>2287455.034409475</v>
      </c>
      <c r="AA57" s="30"/>
      <c r="AB57" s="30"/>
      <c r="AC57" s="30"/>
      <c r="AD57" s="30"/>
      <c r="AE57" s="30">
        <f t="shared" si="96"/>
        <v>0</v>
      </c>
      <c r="AF57" s="30">
        <f t="shared" si="97"/>
        <v>2287455.034409475</v>
      </c>
      <c r="AG57" s="30">
        <f t="shared" si="28"/>
        <v>4033390.1014893595</v>
      </c>
      <c r="AH57" s="30">
        <f t="shared" si="29"/>
        <v>2863928.7151475158</v>
      </c>
      <c r="AI57" s="30">
        <f t="shared" si="30"/>
        <v>2807773.2501446232</v>
      </c>
      <c r="AJ57" s="31">
        <f t="shared" si="16"/>
        <v>1554631.4566657608</v>
      </c>
      <c r="AK57" s="31">
        <f t="shared" si="17"/>
        <v>225222.15498805128</v>
      </c>
      <c r="AL57" s="30">
        <f t="shared" si="18"/>
        <v>1177571.7801664902</v>
      </c>
      <c r="AM57" s="31">
        <f t="shared" si="19"/>
        <v>219717.82524564676</v>
      </c>
      <c r="AN57" s="31">
        <f t="shared" si="20"/>
        <v>219717.82524564676</v>
      </c>
      <c r="AO57" s="30">
        <f t="shared" si="21"/>
        <v>404400.83279671019</v>
      </c>
      <c r="AP57" s="30">
        <v>0</v>
      </c>
      <c r="AQ57" s="32">
        <f t="shared" si="98"/>
        <v>13506353.941889804</v>
      </c>
      <c r="AR57" s="31">
        <f t="shared" si="22"/>
        <v>146080.42813919423</v>
      </c>
      <c r="AS57" s="31">
        <f t="shared" si="23"/>
        <v>137780.46914654304</v>
      </c>
      <c r="AT57" s="31">
        <f t="shared" si="99"/>
        <v>283860.89728573727</v>
      </c>
      <c r="AU57" s="33">
        <f t="shared" si="100"/>
        <v>56315426.376036197</v>
      </c>
    </row>
    <row r="58" spans="1:47" ht="15" customHeight="1" x14ac:dyDescent="0.2">
      <c r="A58" s="41" t="s">
        <v>82</v>
      </c>
      <c r="B58" s="78" t="s">
        <v>106</v>
      </c>
      <c r="C58" s="35">
        <v>4</v>
      </c>
      <c r="D58" s="30">
        <f>+Vigencia_2021!D58*1.003</f>
        <v>1050423.6276468998</v>
      </c>
      <c r="E58" s="30">
        <f t="shared" si="88"/>
        <v>50420334.12705119</v>
      </c>
      <c r="F58" s="30">
        <v>0</v>
      </c>
      <c r="G58" s="30">
        <v>0</v>
      </c>
      <c r="H58" s="30">
        <f>(IF(D58&gt;=1947284,0,70123))*12</f>
        <v>841476</v>
      </c>
      <c r="I58" s="30">
        <f t="shared" si="91"/>
        <v>1315776</v>
      </c>
      <c r="J58" s="30">
        <f t="shared" si="26"/>
        <v>2198027.3638191251</v>
      </c>
      <c r="K58" s="30">
        <f t="shared" si="92"/>
        <v>2100847.2552937996</v>
      </c>
      <c r="L58" s="30">
        <f>+((((D58/30)/8)*50)*12)*C58</f>
        <v>10504236.276469</v>
      </c>
      <c r="M58" s="30">
        <f t="shared" si="82"/>
        <v>4743739.0124534126</v>
      </c>
      <c r="N58" s="30">
        <f t="shared" si="86"/>
        <v>2205659.4032768304</v>
      </c>
      <c r="O58" s="30"/>
      <c r="P58" s="30">
        <f t="shared" si="11"/>
        <v>74330095.438363343</v>
      </c>
      <c r="Q58" s="30"/>
      <c r="R58" s="30"/>
      <c r="S58" s="30"/>
      <c r="T58" s="30"/>
      <c r="U58" s="30">
        <f t="shared" si="93"/>
        <v>0</v>
      </c>
      <c r="V58" s="30">
        <f t="shared" si="90"/>
        <v>74330095.438363343</v>
      </c>
      <c r="W58" s="30">
        <f t="shared" si="94"/>
        <v>3151270.8829406993</v>
      </c>
      <c r="X58" s="30">
        <v>0</v>
      </c>
      <c r="Y58" s="30">
        <f t="shared" si="60"/>
        <v>280112.96737250662</v>
      </c>
      <c r="Z58" s="30">
        <f t="shared" si="95"/>
        <v>3431383.8503132062</v>
      </c>
      <c r="AA58" s="30"/>
      <c r="AB58" s="30"/>
      <c r="AC58" s="30"/>
      <c r="AD58" s="30"/>
      <c r="AE58" s="30">
        <f t="shared" si="96"/>
        <v>0</v>
      </c>
      <c r="AF58" s="30">
        <f t="shared" si="97"/>
        <v>3431383.8503132062</v>
      </c>
      <c r="AG58" s="30">
        <f t="shared" si="28"/>
        <v>6454348.5752461422</v>
      </c>
      <c r="AH58" s="30">
        <f t="shared" si="29"/>
        <v>4483975.8221910158</v>
      </c>
      <c r="AI58" s="30">
        <f t="shared" si="30"/>
        <v>4396054.7276382502</v>
      </c>
      <c r="AJ58" s="31">
        <f t="shared" si="16"/>
        <v>2332083.9943719115</v>
      </c>
      <c r="AK58" s="31">
        <f t="shared" si="17"/>
        <v>337853.05229322147</v>
      </c>
      <c r="AL58" s="30">
        <f t="shared" si="18"/>
        <v>1766461.2979336693</v>
      </c>
      <c r="AM58" s="31">
        <f t="shared" si="19"/>
        <v>329596.07329220627</v>
      </c>
      <c r="AN58" s="31">
        <f t="shared" si="20"/>
        <v>329596.07329220627</v>
      </c>
      <c r="AO58" s="30">
        <f t="shared" si="21"/>
        <v>606636.83693790145</v>
      </c>
      <c r="AP58" s="30">
        <v>0</v>
      </c>
      <c r="AQ58" s="32">
        <f t="shared" si="98"/>
        <v>21036606.453196526</v>
      </c>
      <c r="AR58" s="31">
        <f t="shared" si="22"/>
        <v>219133.49745608168</v>
      </c>
      <c r="AS58" s="31">
        <f t="shared" si="23"/>
        <v>206682.82856107643</v>
      </c>
      <c r="AT58" s="31">
        <f t="shared" si="99"/>
        <v>425816.32601715811</v>
      </c>
      <c r="AU58" s="33">
        <f t="shared" si="100"/>
        <v>98798085.741873071</v>
      </c>
    </row>
    <row r="59" spans="1:47" ht="15" customHeight="1" x14ac:dyDescent="0.2">
      <c r="A59" s="41" t="s">
        <v>82</v>
      </c>
      <c r="B59" s="78" t="s">
        <v>109</v>
      </c>
      <c r="C59" s="35">
        <v>14</v>
      </c>
      <c r="D59" s="30">
        <f>+Vigencia_2021!D59*1.003</f>
        <v>1425035.2662421998</v>
      </c>
      <c r="E59" s="30">
        <f t="shared" si="88"/>
        <v>239405924.72868955</v>
      </c>
      <c r="F59" s="30">
        <v>0</v>
      </c>
      <c r="G59" s="30">
        <v>0</v>
      </c>
      <c r="H59" s="30">
        <f t="shared" ref="H59:H107" si="101">(IF(D59&gt;=1947284,0,70123))*12</f>
        <v>841476</v>
      </c>
      <c r="I59" s="30">
        <f t="shared" si="91"/>
        <v>1315776</v>
      </c>
      <c r="J59" s="30">
        <f t="shared" si="26"/>
        <v>10099768.637527673</v>
      </c>
      <c r="K59" s="30">
        <f t="shared" si="92"/>
        <v>9975246.863695398</v>
      </c>
      <c r="L59" s="30">
        <f t="shared" ref="L59:L61" si="102">+((((D59/30)/8)*50)*12)*C59</f>
        <v>49876234.31847699</v>
      </c>
      <c r="M59" s="30">
        <f t="shared" si="82"/>
        <v>22467981.459045235</v>
      </c>
      <c r="N59" s="30">
        <f t="shared" si="86"/>
        <v>10134837.278630199</v>
      </c>
      <c r="O59" s="30"/>
      <c r="P59" s="30">
        <f t="shared" si="11"/>
        <v>344117245.28606504</v>
      </c>
      <c r="Q59" s="30"/>
      <c r="R59" s="30"/>
      <c r="S59" s="30"/>
      <c r="T59" s="30"/>
      <c r="U59" s="30">
        <f t="shared" si="93"/>
        <v>0</v>
      </c>
      <c r="V59" s="30">
        <f t="shared" si="90"/>
        <v>344117245.28606504</v>
      </c>
      <c r="W59" s="30">
        <f t="shared" si="94"/>
        <v>14962870.295543097</v>
      </c>
      <c r="X59" s="30">
        <v>0</v>
      </c>
      <c r="Y59" s="30">
        <f t="shared" si="60"/>
        <v>1330032.9151593863</v>
      </c>
      <c r="Z59" s="30">
        <f t="shared" si="95"/>
        <v>16292903.210702483</v>
      </c>
      <c r="AA59" s="30"/>
      <c r="AB59" s="30"/>
      <c r="AC59" s="30"/>
      <c r="AD59" s="30"/>
      <c r="AE59" s="30">
        <f t="shared" si="96"/>
        <v>0</v>
      </c>
      <c r="AF59" s="30">
        <f t="shared" si="97"/>
        <v>16292903.210702483</v>
      </c>
      <c r="AG59" s="30">
        <f t="shared" si="28"/>
        <v>30142390.647442743</v>
      </c>
      <c r="AH59" s="30">
        <f t="shared" si="29"/>
        <v>20603528.020556454</v>
      </c>
      <c r="AI59" s="30">
        <f t="shared" si="30"/>
        <v>20199537.275055345</v>
      </c>
      <c r="AJ59" s="31">
        <f t="shared" si="16"/>
        <v>11073205.580326375</v>
      </c>
      <c r="AK59" s="31">
        <f t="shared" si="17"/>
        <v>1604194.4942858606</v>
      </c>
      <c r="AL59" s="30">
        <f t="shared" si="18"/>
        <v>8387514.8360502254</v>
      </c>
      <c r="AM59" s="31">
        <f t="shared" si="19"/>
        <v>1564988.6911624172</v>
      </c>
      <c r="AN59" s="31">
        <f t="shared" si="20"/>
        <v>1564988.6911624172</v>
      </c>
      <c r="AO59" s="30">
        <f t="shared" si="21"/>
        <v>2880434.1628447562</v>
      </c>
      <c r="AP59" s="30">
        <v>0</v>
      </c>
      <c r="AQ59" s="32">
        <f t="shared" si="98"/>
        <v>98020782.398886621</v>
      </c>
      <c r="AR59" s="31">
        <f t="shared" si="22"/>
        <v>1040490.0821424482</v>
      </c>
      <c r="AS59" s="31">
        <f t="shared" si="23"/>
        <v>981371.79282710154</v>
      </c>
      <c r="AT59" s="31">
        <f t="shared" si="99"/>
        <v>2021861.8749695497</v>
      </c>
      <c r="AU59" s="33">
        <f t="shared" si="100"/>
        <v>458430930.89565414</v>
      </c>
    </row>
    <row r="60" spans="1:47" ht="15" customHeight="1" x14ac:dyDescent="0.2">
      <c r="A60" s="41" t="s">
        <v>83</v>
      </c>
      <c r="B60" s="78" t="s">
        <v>111</v>
      </c>
      <c r="C60" s="35">
        <v>1</v>
      </c>
      <c r="D60" s="30">
        <f>+Vigencia_2021!D60*1.003</f>
        <v>1556995.0139999997</v>
      </c>
      <c r="E60" s="30">
        <f t="shared" si="88"/>
        <v>18683940.167999998</v>
      </c>
      <c r="F60" s="30">
        <v>0</v>
      </c>
      <c r="G60" s="30">
        <v>0</v>
      </c>
      <c r="H60" s="30">
        <f t="shared" si="101"/>
        <v>841476</v>
      </c>
      <c r="I60" s="30">
        <f t="shared" si="91"/>
        <v>1315776</v>
      </c>
      <c r="J60" s="30">
        <f t="shared" si="26"/>
        <v>871086.1233437499</v>
      </c>
      <c r="K60" s="30">
        <f t="shared" si="92"/>
        <v>778497.50699999987</v>
      </c>
      <c r="L60" s="30">
        <f t="shared" si="102"/>
        <v>3892487.5349999992</v>
      </c>
      <c r="M60" s="30">
        <f t="shared" si="82"/>
        <v>1767302.8771902034</v>
      </c>
      <c r="N60" s="30">
        <f t="shared" si="86"/>
        <v>874110.72793869348</v>
      </c>
      <c r="O60" s="30"/>
      <c r="P60" s="30">
        <f t="shared" si="11"/>
        <v>29024676.938472643</v>
      </c>
      <c r="Q60" s="30"/>
      <c r="R60" s="30"/>
      <c r="S60" s="30"/>
      <c r="T60" s="30"/>
      <c r="U60" s="30">
        <f t="shared" si="93"/>
        <v>0</v>
      </c>
      <c r="V60" s="30">
        <f t="shared" si="90"/>
        <v>29024676.938472643</v>
      </c>
      <c r="W60" s="30">
        <f t="shared" si="94"/>
        <v>1167746.2604999999</v>
      </c>
      <c r="X60" s="30">
        <v>0</v>
      </c>
      <c r="Y60" s="30">
        <f t="shared" si="60"/>
        <v>103799.66759999999</v>
      </c>
      <c r="Z60" s="30">
        <f t="shared" si="95"/>
        <v>1271545.9280999999</v>
      </c>
      <c r="AA60" s="30"/>
      <c r="AB60" s="30"/>
      <c r="AC60" s="30"/>
      <c r="AD60" s="30"/>
      <c r="AE60" s="30">
        <f t="shared" si="96"/>
        <v>0</v>
      </c>
      <c r="AF60" s="30">
        <f t="shared" si="97"/>
        <v>1271545.9280999999</v>
      </c>
      <c r="AG60" s="30">
        <f t="shared" si="28"/>
        <v>2343049.9401599998</v>
      </c>
      <c r="AH60" s="30">
        <f t="shared" si="29"/>
        <v>1777015.69162125</v>
      </c>
      <c r="AI60" s="30">
        <f t="shared" si="30"/>
        <v>1742172.2466874998</v>
      </c>
      <c r="AJ60" s="31">
        <f t="shared" si="16"/>
        <v>864185.42383712588</v>
      </c>
      <c r="AK60" s="31">
        <f t="shared" si="17"/>
        <v>125196.04092103828</v>
      </c>
      <c r="AL60" s="30">
        <f t="shared" si="18"/>
        <v>654586.2452342012</v>
      </c>
      <c r="AM60" s="31">
        <f t="shared" si="19"/>
        <v>122136.30511614145</v>
      </c>
      <c r="AN60" s="31">
        <f t="shared" si="20"/>
        <v>122136.30511614145</v>
      </c>
      <c r="AO60" s="30">
        <f t="shared" si="21"/>
        <v>224797.525865095</v>
      </c>
      <c r="AP60" s="30">
        <v>0</v>
      </c>
      <c r="AQ60" s="32">
        <f t="shared" si="98"/>
        <v>7975275.7245584931</v>
      </c>
      <c r="AR60" s="31">
        <f t="shared" si="22"/>
        <v>81202.896136251002</v>
      </c>
      <c r="AS60" s="31">
        <f t="shared" si="23"/>
        <v>76589.131536840141</v>
      </c>
      <c r="AT60" s="31">
        <f t="shared" si="99"/>
        <v>157792.02767309116</v>
      </c>
      <c r="AU60" s="33">
        <f t="shared" si="100"/>
        <v>38271498.591131136</v>
      </c>
    </row>
    <row r="61" spans="1:47" ht="15" customHeight="1" x14ac:dyDescent="0.2">
      <c r="A61" s="41" t="s">
        <v>83</v>
      </c>
      <c r="B61" s="78" t="s">
        <v>112</v>
      </c>
      <c r="C61" s="35">
        <v>6</v>
      </c>
      <c r="D61" s="30">
        <f>+Vigencia_2021!D61*1.003</f>
        <v>1713502.1309999998</v>
      </c>
      <c r="E61" s="30">
        <f t="shared" si="88"/>
        <v>123372153.43199998</v>
      </c>
      <c r="F61" s="30">
        <v>0</v>
      </c>
      <c r="G61" s="30">
        <v>0</v>
      </c>
      <c r="H61" s="30">
        <f t="shared" si="101"/>
        <v>841476</v>
      </c>
      <c r="I61" s="30">
        <f t="shared" si="91"/>
        <v>1315776</v>
      </c>
      <c r="J61" s="30">
        <f t="shared" si="26"/>
        <v>5242886.1793718738</v>
      </c>
      <c r="K61" s="30">
        <f t="shared" si="92"/>
        <v>3598354.4750999995</v>
      </c>
      <c r="L61" s="30">
        <f t="shared" si="102"/>
        <v>25702531.964999992</v>
      </c>
      <c r="M61" s="30">
        <f t="shared" si="82"/>
        <v>11456207.060978694</v>
      </c>
      <c r="N61" s="30">
        <f t="shared" si="86"/>
        <v>5261090.645272471</v>
      </c>
      <c r="O61" s="30"/>
      <c r="P61" s="30">
        <f t="shared" si="11"/>
        <v>176790475.757723</v>
      </c>
      <c r="Q61" s="30"/>
      <c r="R61" s="30"/>
      <c r="S61" s="30"/>
      <c r="T61" s="30"/>
      <c r="U61" s="30">
        <f t="shared" si="93"/>
        <v>0</v>
      </c>
      <c r="V61" s="30">
        <f t="shared" si="90"/>
        <v>176790475.757723</v>
      </c>
      <c r="W61" s="30">
        <f t="shared" si="94"/>
        <v>7710759.5894999988</v>
      </c>
      <c r="X61" s="30">
        <v>0</v>
      </c>
      <c r="Y61" s="30">
        <f t="shared" si="60"/>
        <v>685400.85239999986</v>
      </c>
      <c r="Z61" s="30">
        <f t="shared" si="95"/>
        <v>8396160.4418999981</v>
      </c>
      <c r="AA61" s="30"/>
      <c r="AB61" s="30"/>
      <c r="AC61" s="30"/>
      <c r="AD61" s="30"/>
      <c r="AE61" s="30">
        <f t="shared" si="96"/>
        <v>0</v>
      </c>
      <c r="AF61" s="30">
        <f t="shared" si="97"/>
        <v>8396160.4418999981</v>
      </c>
      <c r="AG61" s="30">
        <f t="shared" si="28"/>
        <v>15410521.131839996</v>
      </c>
      <c r="AH61" s="30">
        <f t="shared" si="29"/>
        <v>10695487.805918625</v>
      </c>
      <c r="AI61" s="30">
        <f t="shared" si="30"/>
        <v>10485772.358743748</v>
      </c>
      <c r="AJ61" s="31">
        <f t="shared" si="16"/>
        <v>5706313.3228147393</v>
      </c>
      <c r="AK61" s="31">
        <f t="shared" si="17"/>
        <v>826683.50630040886</v>
      </c>
      <c r="AL61" s="30">
        <f t="shared" si="18"/>
        <v>4322306.4276251784</v>
      </c>
      <c r="AM61" s="31">
        <f t="shared" si="19"/>
        <v>806479.72745136078</v>
      </c>
      <c r="AN61" s="31">
        <f t="shared" si="20"/>
        <v>806479.72745136078</v>
      </c>
      <c r="AO61" s="30">
        <f t="shared" si="21"/>
        <v>1484363.2875501346</v>
      </c>
      <c r="AP61" s="30">
        <v>0</v>
      </c>
      <c r="AQ61" s="32">
        <f t="shared" si="98"/>
        <v>50544407.295695558</v>
      </c>
      <c r="AR61" s="31">
        <f t="shared" si="22"/>
        <v>536191.83486802515</v>
      </c>
      <c r="AS61" s="31">
        <f t="shared" si="23"/>
        <v>505726.62951307901</v>
      </c>
      <c r="AT61" s="31">
        <f t="shared" si="99"/>
        <v>1041918.4643811041</v>
      </c>
      <c r="AU61" s="33">
        <f t="shared" si="100"/>
        <v>235731043.49531853</v>
      </c>
    </row>
    <row r="62" spans="1:47" ht="15" customHeight="1" x14ac:dyDescent="0.2">
      <c r="A62" s="41" t="s">
        <v>83</v>
      </c>
      <c r="B62" s="35">
        <v>11</v>
      </c>
      <c r="C62" s="35">
        <v>4</v>
      </c>
      <c r="D62" s="30">
        <f>+Vigencia_2021!D62*1.003</f>
        <v>1890322.6589589997</v>
      </c>
      <c r="E62" s="30">
        <f t="shared" si="88"/>
        <v>90735487.630031988</v>
      </c>
      <c r="F62" s="30">
        <v>0</v>
      </c>
      <c r="G62" s="30">
        <v>0</v>
      </c>
      <c r="H62" s="30">
        <f t="shared" si="101"/>
        <v>841476</v>
      </c>
      <c r="I62" s="30">
        <f t="shared" si="91"/>
        <v>0</v>
      </c>
      <c r="J62" s="30">
        <f t="shared" si="26"/>
        <v>3824895.8863990498</v>
      </c>
      <c r="K62" s="30">
        <f t="shared" si="92"/>
        <v>2646451.7225425993</v>
      </c>
      <c r="L62" s="30">
        <v>0</v>
      </c>
      <c r="M62" s="30">
        <f t="shared" si="82"/>
        <v>8420417.6678222604</v>
      </c>
      <c r="N62" s="30">
        <f t="shared" si="86"/>
        <v>3838176.7748934911</v>
      </c>
      <c r="O62" s="30"/>
      <c r="P62" s="30">
        <f t="shared" si="11"/>
        <v>110306905.68168938</v>
      </c>
      <c r="Q62" s="30"/>
      <c r="R62" s="30"/>
      <c r="S62" s="30"/>
      <c r="T62" s="30"/>
      <c r="U62" s="30">
        <f t="shared" si="93"/>
        <v>0</v>
      </c>
      <c r="V62" s="30">
        <f t="shared" si="90"/>
        <v>110306905.68168938</v>
      </c>
      <c r="W62" s="30">
        <f t="shared" si="94"/>
        <v>5670967.9768769993</v>
      </c>
      <c r="X62" s="30">
        <v>0</v>
      </c>
      <c r="Y62" s="30">
        <f t="shared" si="60"/>
        <v>504086.0423890666</v>
      </c>
      <c r="Z62" s="30">
        <f t="shared" si="95"/>
        <v>6175054.0192660661</v>
      </c>
      <c r="AA62" s="30"/>
      <c r="AB62" s="30"/>
      <c r="AC62" s="30"/>
      <c r="AD62" s="30"/>
      <c r="AE62" s="30">
        <f t="shared" si="96"/>
        <v>0</v>
      </c>
      <c r="AF62" s="30">
        <f t="shared" si="97"/>
        <v>6175054.0192660661</v>
      </c>
      <c r="AG62" s="30">
        <f t="shared" si="28"/>
        <v>11292166.995603837</v>
      </c>
      <c r="AH62" s="30">
        <f t="shared" si="29"/>
        <v>7802787.608254062</v>
      </c>
      <c r="AI62" s="30">
        <f t="shared" si="30"/>
        <v>7649791.7727980996</v>
      </c>
      <c r="AJ62" s="31">
        <f t="shared" si="16"/>
        <v>4196774.6165728085</v>
      </c>
      <c r="AK62" s="31">
        <f t="shared" si="17"/>
        <v>607994.01626085583</v>
      </c>
      <c r="AL62" s="30">
        <f t="shared" si="18"/>
        <v>3178890.6206711931</v>
      </c>
      <c r="AM62" s="31">
        <f t="shared" si="19"/>
        <v>593134.91171545198</v>
      </c>
      <c r="AN62" s="31">
        <f t="shared" si="20"/>
        <v>593134.91171545198</v>
      </c>
      <c r="AO62" s="30">
        <f t="shared" si="21"/>
        <v>1091692.2738988576</v>
      </c>
      <c r="AP62" s="30">
        <v>0</v>
      </c>
      <c r="AQ62" s="32">
        <f t="shared" si="98"/>
        <v>37006367.727490619</v>
      </c>
      <c r="AR62" s="31">
        <f t="shared" si="22"/>
        <v>394348.53203569597</v>
      </c>
      <c r="AS62" s="31">
        <f t="shared" si="23"/>
        <v>371942.54181235353</v>
      </c>
      <c r="AT62" s="31">
        <f t="shared" si="99"/>
        <v>766291.07384804951</v>
      </c>
      <c r="AU62" s="33">
        <f t="shared" si="100"/>
        <v>153488327.42844605</v>
      </c>
    </row>
    <row r="63" spans="1:47" ht="15" customHeight="1" x14ac:dyDescent="0.2">
      <c r="A63" s="41" t="s">
        <v>83</v>
      </c>
      <c r="B63" s="35">
        <v>12</v>
      </c>
      <c r="C63" s="35">
        <v>4</v>
      </c>
      <c r="D63" s="30">
        <f>+Vigencia_2021!D63*1.003</f>
        <v>2004518.2247703997</v>
      </c>
      <c r="E63" s="30">
        <f t="shared" si="88"/>
        <v>96216874.788979188</v>
      </c>
      <c r="F63" s="30">
        <v>0</v>
      </c>
      <c r="G63" s="30">
        <v>0</v>
      </c>
      <c r="H63" s="30">
        <f t="shared" si="101"/>
        <v>0</v>
      </c>
      <c r="I63" s="30">
        <f t="shared" si="91"/>
        <v>0</v>
      </c>
      <c r="J63" s="30">
        <f t="shared" si="26"/>
        <v>4018780.6353556556</v>
      </c>
      <c r="K63" s="30">
        <f t="shared" si="92"/>
        <v>2806325.5146785593</v>
      </c>
      <c r="L63" s="30">
        <v>0</v>
      </c>
      <c r="M63" s="30">
        <f t="shared" si="82"/>
        <v>8922892.9728164487</v>
      </c>
      <c r="N63" s="30">
        <f t="shared" si="86"/>
        <v>4032734.734783974</v>
      </c>
      <c r="O63" s="30"/>
      <c r="P63" s="30">
        <f t="shared" si="11"/>
        <v>115997608.64661382</v>
      </c>
      <c r="Q63" s="30"/>
      <c r="R63" s="30"/>
      <c r="S63" s="30"/>
      <c r="T63" s="30"/>
      <c r="U63" s="30">
        <f t="shared" si="93"/>
        <v>0</v>
      </c>
      <c r="V63" s="30">
        <f t="shared" si="90"/>
        <v>115997608.64661382</v>
      </c>
      <c r="W63" s="30">
        <f t="shared" si="94"/>
        <v>6013554.6743111992</v>
      </c>
      <c r="X63" s="30">
        <v>0</v>
      </c>
      <c r="Y63" s="30">
        <f t="shared" si="60"/>
        <v>534538.19327210658</v>
      </c>
      <c r="Z63" s="30">
        <f t="shared" si="95"/>
        <v>6548092.8675833056</v>
      </c>
      <c r="AA63" s="30"/>
      <c r="AB63" s="30"/>
      <c r="AC63" s="30"/>
      <c r="AD63" s="30"/>
      <c r="AE63" s="30">
        <f t="shared" si="96"/>
        <v>0</v>
      </c>
      <c r="AF63" s="30">
        <f t="shared" si="97"/>
        <v>6548092.8675833056</v>
      </c>
      <c r="AG63" s="30">
        <f t="shared" si="28"/>
        <v>11546024.974677503</v>
      </c>
      <c r="AH63" s="30">
        <f t="shared" si="29"/>
        <v>8198312.4961255379</v>
      </c>
      <c r="AI63" s="30">
        <f t="shared" si="30"/>
        <v>8037561.2707113111</v>
      </c>
      <c r="AJ63" s="31">
        <f t="shared" si="16"/>
        <v>4450304.3775641825</v>
      </c>
      <c r="AK63" s="31">
        <f t="shared" si="17"/>
        <v>644723.31237747183</v>
      </c>
      <c r="AL63" s="30">
        <f t="shared" si="18"/>
        <v>3370929.3773139408</v>
      </c>
      <c r="AM63" s="31">
        <f t="shared" si="19"/>
        <v>628966.56009824271</v>
      </c>
      <c r="AN63" s="31">
        <f t="shared" si="20"/>
        <v>628966.56009824271</v>
      </c>
      <c r="AO63" s="30">
        <f t="shared" si="21"/>
        <v>1157642.0821598812</v>
      </c>
      <c r="AP63" s="30">
        <v>0</v>
      </c>
      <c r="AQ63" s="32">
        <f t="shared" si="98"/>
        <v>38663431.011126317</v>
      </c>
      <c r="AR63" s="31">
        <f t="shared" si="22"/>
        <v>418171.37176587782</v>
      </c>
      <c r="AS63" s="31">
        <f t="shared" si="23"/>
        <v>394411.82175791723</v>
      </c>
      <c r="AT63" s="31">
        <f t="shared" si="99"/>
        <v>812583.19352379511</v>
      </c>
      <c r="AU63" s="33">
        <f t="shared" si="100"/>
        <v>161209132.52532345</v>
      </c>
    </row>
    <row r="64" spans="1:47" ht="15" customHeight="1" x14ac:dyDescent="0.2">
      <c r="A64" s="41" t="s">
        <v>83</v>
      </c>
      <c r="B64" s="35">
        <v>13</v>
      </c>
      <c r="C64" s="35">
        <v>2</v>
      </c>
      <c r="D64" s="30">
        <f>+Vigencia_2021!D64*1.003</f>
        <v>2137655.7859999998</v>
      </c>
      <c r="E64" s="30">
        <f t="shared" si="88"/>
        <v>51303738.863999993</v>
      </c>
      <c r="F64" s="30">
        <v>0</v>
      </c>
      <c r="G64" s="30">
        <v>0</v>
      </c>
      <c r="H64" s="30">
        <f t="shared" si="101"/>
        <v>0</v>
      </c>
      <c r="I64" s="30">
        <f t="shared" si="91"/>
        <v>0</v>
      </c>
      <c r="J64" s="30">
        <f t="shared" si="26"/>
        <v>2142851.4771465273</v>
      </c>
      <c r="K64" s="30">
        <f t="shared" si="92"/>
        <v>1496359.0501999997</v>
      </c>
      <c r="L64" s="30">
        <v>0</v>
      </c>
      <c r="M64" s="30">
        <f t="shared" si="82"/>
        <v>4757770.1104175765</v>
      </c>
      <c r="N64" s="30">
        <f t="shared" si="86"/>
        <v>2150291.9336643973</v>
      </c>
      <c r="O64" s="30"/>
      <c r="P64" s="30">
        <f t="shared" si="11"/>
        <v>61851011.435428493</v>
      </c>
      <c r="Q64" s="30"/>
      <c r="R64" s="30"/>
      <c r="S64" s="30"/>
      <c r="T64" s="30"/>
      <c r="U64" s="30">
        <f t="shared" si="93"/>
        <v>0</v>
      </c>
      <c r="V64" s="30">
        <f t="shared" si="90"/>
        <v>61851011.435428493</v>
      </c>
      <c r="W64" s="30">
        <f t="shared" si="94"/>
        <v>3206483.6789999991</v>
      </c>
      <c r="X64" s="30">
        <v>0</v>
      </c>
      <c r="Y64" s="30">
        <f t="shared" si="60"/>
        <v>285020.77146666666</v>
      </c>
      <c r="Z64" s="30">
        <f t="shared" si="95"/>
        <v>3491504.4504666659</v>
      </c>
      <c r="AA64" s="30"/>
      <c r="AB64" s="30"/>
      <c r="AC64" s="30"/>
      <c r="AD64" s="30"/>
      <c r="AE64" s="30">
        <f t="shared" si="96"/>
        <v>0</v>
      </c>
      <c r="AF64" s="30">
        <f t="shared" si="97"/>
        <v>3491504.4504666659</v>
      </c>
      <c r="AG64" s="30">
        <f t="shared" si="28"/>
        <v>6156448.6636799993</v>
      </c>
      <c r="AH64" s="30">
        <f t="shared" si="29"/>
        <v>4371417.0133789163</v>
      </c>
      <c r="AI64" s="30">
        <f t="shared" si="30"/>
        <v>4285702.9542930545</v>
      </c>
      <c r="AJ64" s="31">
        <f t="shared" si="16"/>
        <v>2372943.9784092908</v>
      </c>
      <c r="AK64" s="31">
        <f t="shared" si="17"/>
        <v>343772.509035344</v>
      </c>
      <c r="AL64" s="30">
        <f t="shared" si="18"/>
        <v>1797411.1181847434</v>
      </c>
      <c r="AM64" s="31">
        <f t="shared" si="19"/>
        <v>335370.8611326114</v>
      </c>
      <c r="AN64" s="31">
        <f t="shared" si="20"/>
        <v>335370.8611326114</v>
      </c>
      <c r="AO64" s="30">
        <f t="shared" si="21"/>
        <v>617265.60139646661</v>
      </c>
      <c r="AP64" s="30">
        <v>0</v>
      </c>
      <c r="AQ64" s="32">
        <f t="shared" si="98"/>
        <v>20615703.560643036</v>
      </c>
      <c r="AR64" s="31">
        <f t="shared" si="22"/>
        <v>222972.89227621636</v>
      </c>
      <c r="AS64" s="31">
        <f t="shared" si="23"/>
        <v>210304.07766539117</v>
      </c>
      <c r="AT64" s="31">
        <f t="shared" si="99"/>
        <v>433276.96994160756</v>
      </c>
      <c r="AU64" s="33">
        <f t="shared" si="100"/>
        <v>85958219.446538195</v>
      </c>
    </row>
    <row r="65" spans="1:47" ht="15" customHeight="1" x14ac:dyDescent="0.2">
      <c r="A65" s="41" t="s">
        <v>83</v>
      </c>
      <c r="B65" s="35">
        <v>14</v>
      </c>
      <c r="C65" s="35">
        <v>1</v>
      </c>
      <c r="D65" s="30">
        <f>+Vigencia_2021!D65*1.003</f>
        <v>2215735.3239999996</v>
      </c>
      <c r="E65" s="30">
        <f t="shared" si="88"/>
        <v>26588823.887999997</v>
      </c>
      <c r="F65" s="30">
        <v>0</v>
      </c>
      <c r="G65" s="30">
        <v>0</v>
      </c>
      <c r="H65" s="30">
        <f t="shared" si="101"/>
        <v>0</v>
      </c>
      <c r="I65" s="30">
        <f t="shared" si="91"/>
        <v>0</v>
      </c>
      <c r="J65" s="30">
        <f t="shared" si="26"/>
        <v>1110560.3959006944</v>
      </c>
      <c r="K65" s="30">
        <f t="shared" si="92"/>
        <v>775507.3633999998</v>
      </c>
      <c r="L65" s="30">
        <v>0</v>
      </c>
      <c r="M65" s="30">
        <f t="shared" si="82"/>
        <v>2465775.6796405958</v>
      </c>
      <c r="N65" s="30">
        <f t="shared" si="86"/>
        <v>1114416.5083864606</v>
      </c>
      <c r="O65" s="30"/>
      <c r="P65" s="30">
        <f t="shared" si="11"/>
        <v>32055083.835327744</v>
      </c>
      <c r="Q65" s="30"/>
      <c r="R65" s="30"/>
      <c r="S65" s="30"/>
      <c r="T65" s="30"/>
      <c r="U65" s="30">
        <f t="shared" si="93"/>
        <v>0</v>
      </c>
      <c r="V65" s="30">
        <f t="shared" si="90"/>
        <v>32055083.835327744</v>
      </c>
      <c r="W65" s="30">
        <f t="shared" si="94"/>
        <v>1661801.4929999996</v>
      </c>
      <c r="X65" s="30">
        <v>0</v>
      </c>
      <c r="Y65" s="30">
        <f t="shared" si="60"/>
        <v>147715.68826666664</v>
      </c>
      <c r="Z65" s="30">
        <f t="shared" si="95"/>
        <v>1809517.1812666662</v>
      </c>
      <c r="AA65" s="30"/>
      <c r="AB65" s="30"/>
      <c r="AC65" s="30"/>
      <c r="AD65" s="30"/>
      <c r="AE65" s="30">
        <f t="shared" si="96"/>
        <v>0</v>
      </c>
      <c r="AF65" s="30">
        <f t="shared" si="97"/>
        <v>1809517.1812666662</v>
      </c>
      <c r="AG65" s="30">
        <f t="shared" si="28"/>
        <v>3190658.8665599995</v>
      </c>
      <c r="AH65" s="30">
        <f t="shared" si="29"/>
        <v>2265543.2076374167</v>
      </c>
      <c r="AI65" s="30">
        <f t="shared" si="30"/>
        <v>2221120.7918013888</v>
      </c>
      <c r="AJ65" s="31">
        <f t="shared" si="16"/>
        <v>1229808.8001981433</v>
      </c>
      <c r="AK65" s="31">
        <f t="shared" si="17"/>
        <v>178164.53347595243</v>
      </c>
      <c r="AL65" s="30">
        <f t="shared" si="18"/>
        <v>931531.47770449205</v>
      </c>
      <c r="AM65" s="31">
        <f t="shared" si="19"/>
        <v>173810.27116678777</v>
      </c>
      <c r="AN65" s="31">
        <f t="shared" si="20"/>
        <v>173810.27116678777</v>
      </c>
      <c r="AO65" s="30">
        <f t="shared" si="21"/>
        <v>319905.85347314068</v>
      </c>
      <c r="AP65" s="30">
        <v>0</v>
      </c>
      <c r="AQ65" s="32">
        <f t="shared" si="98"/>
        <v>10684354.073184108</v>
      </c>
      <c r="AR65" s="31">
        <f t="shared" si="22"/>
        <v>115558.57517999379</v>
      </c>
      <c r="AS65" s="31">
        <f t="shared" si="23"/>
        <v>108992.79872752316</v>
      </c>
      <c r="AT65" s="31">
        <f t="shared" si="99"/>
        <v>224551.37390751694</v>
      </c>
      <c r="AU65" s="33">
        <f t="shared" si="100"/>
        <v>44548955.08977852</v>
      </c>
    </row>
    <row r="66" spans="1:47" ht="15" customHeight="1" x14ac:dyDescent="0.2">
      <c r="A66" s="41" t="s">
        <v>83</v>
      </c>
      <c r="B66" s="35">
        <v>15</v>
      </c>
      <c r="C66" s="35">
        <v>18</v>
      </c>
      <c r="D66" s="30">
        <f>+Vigencia_2021!D66*1.003</f>
        <v>2315717.0424111998</v>
      </c>
      <c r="E66" s="30">
        <f t="shared" si="88"/>
        <v>500194881.16081917</v>
      </c>
      <c r="F66" s="30">
        <v>0</v>
      </c>
      <c r="G66" s="30">
        <v>0</v>
      </c>
      <c r="H66" s="30">
        <f t="shared" si="101"/>
        <v>0</v>
      </c>
      <c r="I66" s="30">
        <f t="shared" si="91"/>
        <v>0</v>
      </c>
      <c r="J66" s="30">
        <f t="shared" si="26"/>
        <v>20892109.692003544</v>
      </c>
      <c r="K66" s="30">
        <f t="shared" si="92"/>
        <v>14589017.367190557</v>
      </c>
      <c r="L66" s="30">
        <v>0</v>
      </c>
      <c r="M66" s="30">
        <f t="shared" si="82"/>
        <v>46386721.663296536</v>
      </c>
      <c r="N66" s="30">
        <f t="shared" si="86"/>
        <v>20964651.739545222</v>
      </c>
      <c r="O66" s="30"/>
      <c r="P66" s="30">
        <f t="shared" si="11"/>
        <v>603027381.62285507</v>
      </c>
      <c r="Q66" s="30"/>
      <c r="R66" s="30"/>
      <c r="S66" s="30"/>
      <c r="T66" s="30"/>
      <c r="U66" s="30">
        <f t="shared" si="93"/>
        <v>0</v>
      </c>
      <c r="V66" s="30">
        <f t="shared" si="90"/>
        <v>603027381.62285507</v>
      </c>
      <c r="W66" s="30">
        <f t="shared" si="94"/>
        <v>31262180.072551198</v>
      </c>
      <c r="X66" s="30">
        <v>0</v>
      </c>
      <c r="Y66" s="30">
        <f t="shared" si="60"/>
        <v>2778860.4508934398</v>
      </c>
      <c r="Z66" s="30">
        <f t="shared" si="95"/>
        <v>34041040.523444638</v>
      </c>
      <c r="AA66" s="30"/>
      <c r="AB66" s="30"/>
      <c r="AC66" s="30"/>
      <c r="AD66" s="30"/>
      <c r="AE66" s="30">
        <f t="shared" si="96"/>
        <v>0</v>
      </c>
      <c r="AF66" s="30">
        <f t="shared" si="97"/>
        <v>34041040.523444638</v>
      </c>
      <c r="AG66" s="30">
        <f t="shared" si="28"/>
        <v>60023385.739298292</v>
      </c>
      <c r="AH66" s="30">
        <f t="shared" si="29"/>
        <v>42619903.771687232</v>
      </c>
      <c r="AI66" s="30">
        <f t="shared" si="30"/>
        <v>41784219.384007089</v>
      </c>
      <c r="AJ66" s="31">
        <f t="shared" si="16"/>
        <v>23135437.252012689</v>
      </c>
      <c r="AK66" s="31">
        <f t="shared" si="17"/>
        <v>3351670.9134809412</v>
      </c>
      <c r="AL66" s="30">
        <f t="shared" si="18"/>
        <v>17524177.780509159</v>
      </c>
      <c r="AM66" s="31">
        <f t="shared" si="19"/>
        <v>3269757.5604326855</v>
      </c>
      <c r="AN66" s="31">
        <f t="shared" si="20"/>
        <v>3269757.5604326855</v>
      </c>
      <c r="AO66" s="30">
        <f t="shared" si="21"/>
        <v>6018140.216907667</v>
      </c>
      <c r="AP66" s="30">
        <v>0</v>
      </c>
      <c r="AQ66" s="32">
        <f t="shared" si="98"/>
        <v>200996450.17876846</v>
      </c>
      <c r="AR66" s="31">
        <f t="shared" si="22"/>
        <v>2173913.67225376</v>
      </c>
      <c r="AS66" s="31">
        <f t="shared" si="23"/>
        <v>2050396.8222341454</v>
      </c>
      <c r="AT66" s="31">
        <f t="shared" si="99"/>
        <v>4224310.4944879059</v>
      </c>
      <c r="AU66" s="33">
        <f t="shared" si="100"/>
        <v>838064872.32506824</v>
      </c>
    </row>
    <row r="67" spans="1:47" ht="15" customHeight="1" x14ac:dyDescent="0.2">
      <c r="A67" s="41" t="s">
        <v>83</v>
      </c>
      <c r="B67" s="35">
        <v>16</v>
      </c>
      <c r="C67" s="35">
        <v>8</v>
      </c>
      <c r="D67" s="30">
        <f>+Vigencia_2021!D67*1.003</f>
        <v>2616444.8569999998</v>
      </c>
      <c r="E67" s="30">
        <f t="shared" si="88"/>
        <v>251178706.27199998</v>
      </c>
      <c r="F67" s="30">
        <v>0</v>
      </c>
      <c r="G67" s="30">
        <v>0</v>
      </c>
      <c r="H67" s="30">
        <f t="shared" si="101"/>
        <v>0</v>
      </c>
      <c r="I67" s="30">
        <f t="shared" si="91"/>
        <v>0</v>
      </c>
      <c r="J67" s="30">
        <f t="shared" si="26"/>
        <v>10491217.086331943</v>
      </c>
      <c r="K67" s="30">
        <f t="shared" si="92"/>
        <v>7326045.5995999994</v>
      </c>
      <c r="L67" s="30">
        <v>0</v>
      </c>
      <c r="M67" s="30">
        <f t="shared" si="82"/>
        <v>23293634.4901141</v>
      </c>
      <c r="N67" s="30">
        <f t="shared" si="86"/>
        <v>10527644.923437262</v>
      </c>
      <c r="O67" s="30"/>
      <c r="P67" s="30">
        <f t="shared" si="11"/>
        <v>302817248.37148327</v>
      </c>
      <c r="Q67" s="30"/>
      <c r="R67" s="30"/>
      <c r="S67" s="30"/>
      <c r="T67" s="30"/>
      <c r="U67" s="30">
        <f t="shared" si="93"/>
        <v>0</v>
      </c>
      <c r="V67" s="30">
        <f t="shared" si="90"/>
        <v>302817248.37148327</v>
      </c>
      <c r="W67" s="30">
        <f t="shared" si="94"/>
        <v>15698669.141999999</v>
      </c>
      <c r="X67" s="30">
        <v>0</v>
      </c>
      <c r="Y67" s="30">
        <f t="shared" si="60"/>
        <v>1395437.2570666666</v>
      </c>
      <c r="Z67" s="30">
        <f t="shared" si="95"/>
        <v>17094106.399066664</v>
      </c>
      <c r="AA67" s="30"/>
      <c r="AB67" s="30"/>
      <c r="AC67" s="30"/>
      <c r="AD67" s="30"/>
      <c r="AE67" s="30">
        <f t="shared" si="96"/>
        <v>0</v>
      </c>
      <c r="AF67" s="30">
        <f t="shared" si="97"/>
        <v>17094106.399066664</v>
      </c>
      <c r="AG67" s="30">
        <f t="shared" si="28"/>
        <v>30141444.752639998</v>
      </c>
      <c r="AH67" s="30">
        <f t="shared" si="29"/>
        <v>21402082.856117167</v>
      </c>
      <c r="AI67" s="30">
        <f t="shared" si="30"/>
        <v>20982434.172663886</v>
      </c>
      <c r="AJ67" s="31">
        <f t="shared" si="16"/>
        <v>11617730.242483685</v>
      </c>
      <c r="AK67" s="31">
        <f t="shared" si="17"/>
        <v>1683080.726343866</v>
      </c>
      <c r="AL67" s="30">
        <f t="shared" si="18"/>
        <v>8799970.7097634505</v>
      </c>
      <c r="AM67" s="31">
        <f t="shared" si="19"/>
        <v>1641946.978638744</v>
      </c>
      <c r="AN67" s="31">
        <f t="shared" si="20"/>
        <v>1641946.978638744</v>
      </c>
      <c r="AO67" s="30">
        <f t="shared" si="21"/>
        <v>3022079.4549881704</v>
      </c>
      <c r="AP67" s="30">
        <v>0</v>
      </c>
      <c r="AQ67" s="32">
        <f t="shared" si="98"/>
        <v>100932716.87227771</v>
      </c>
      <c r="AR67" s="31">
        <f t="shared" si="22"/>
        <v>1091656.1610476635</v>
      </c>
      <c r="AS67" s="31">
        <f t="shared" si="23"/>
        <v>1029630.7310418242</v>
      </c>
      <c r="AT67" s="31">
        <f t="shared" si="99"/>
        <v>2121286.892089488</v>
      </c>
      <c r="AU67" s="33">
        <f t="shared" si="100"/>
        <v>420844071.64282763</v>
      </c>
    </row>
    <row r="68" spans="1:47" ht="15" customHeight="1" x14ac:dyDescent="0.2">
      <c r="A68" s="41" t="s">
        <v>83</v>
      </c>
      <c r="B68" s="35">
        <v>17</v>
      </c>
      <c r="C68" s="35">
        <v>8</v>
      </c>
      <c r="D68" s="30">
        <f>+Vigencia_2021!D68*1.003</f>
        <v>2800965.3482565</v>
      </c>
      <c r="E68" s="30">
        <f t="shared" si="88"/>
        <v>268892673.43262398</v>
      </c>
      <c r="F68" s="30">
        <v>0</v>
      </c>
      <c r="G68" s="30">
        <v>0</v>
      </c>
      <c r="H68" s="30">
        <f t="shared" si="101"/>
        <v>0</v>
      </c>
      <c r="I68" s="30">
        <f t="shared" si="91"/>
        <v>0</v>
      </c>
      <c r="J68" s="30">
        <f t="shared" si="26"/>
        <v>11231093.000578493</v>
      </c>
      <c r="K68" s="30">
        <f t="shared" si="92"/>
        <v>7842702.9751181994</v>
      </c>
      <c r="L68" s="30">
        <v>0</v>
      </c>
      <c r="M68" s="30">
        <f t="shared" si="82"/>
        <v>24936379.938299634</v>
      </c>
      <c r="N68" s="30">
        <f t="shared" si="86"/>
        <v>11270089.851274945</v>
      </c>
      <c r="O68" s="30"/>
      <c r="P68" s="30">
        <f t="shared" si="11"/>
        <v>324172939.19789535</v>
      </c>
      <c r="Q68" s="30"/>
      <c r="R68" s="30"/>
      <c r="S68" s="30"/>
      <c r="T68" s="30"/>
      <c r="U68" s="30">
        <f t="shared" si="93"/>
        <v>0</v>
      </c>
      <c r="V68" s="30">
        <f t="shared" si="90"/>
        <v>324172939.19789535</v>
      </c>
      <c r="W68" s="30">
        <f t="shared" si="94"/>
        <v>16805792.089538999</v>
      </c>
      <c r="X68" s="30">
        <v>0</v>
      </c>
      <c r="Y68" s="30">
        <f t="shared" si="60"/>
        <v>1493848.1857368001</v>
      </c>
      <c r="Z68" s="30">
        <f t="shared" si="95"/>
        <v>18299640.2752758</v>
      </c>
      <c r="AA68" s="30"/>
      <c r="AB68" s="30"/>
      <c r="AC68" s="30"/>
      <c r="AD68" s="30"/>
      <c r="AE68" s="30">
        <f t="shared" si="96"/>
        <v>0</v>
      </c>
      <c r="AF68" s="30">
        <f t="shared" si="97"/>
        <v>18299640.2752758</v>
      </c>
      <c r="AG68" s="30">
        <f t="shared" si="28"/>
        <v>32267120.811914876</v>
      </c>
      <c r="AH68" s="30">
        <f t="shared" si="29"/>
        <v>22911429.721180126</v>
      </c>
      <c r="AI68" s="30">
        <f t="shared" si="30"/>
        <v>22462186.001156986</v>
      </c>
      <c r="AJ68" s="31">
        <f t="shared" si="16"/>
        <v>12437051.653326087</v>
      </c>
      <c r="AK68" s="31">
        <f t="shared" si="17"/>
        <v>1801777.2399044102</v>
      </c>
      <c r="AL68" s="30">
        <f t="shared" si="18"/>
        <v>9420574.2413319219</v>
      </c>
      <c r="AM68" s="31">
        <f t="shared" si="19"/>
        <v>1757742.6019651741</v>
      </c>
      <c r="AN68" s="31">
        <f t="shared" si="20"/>
        <v>1757742.6019651741</v>
      </c>
      <c r="AO68" s="30">
        <f t="shared" si="21"/>
        <v>3235206.6623736816</v>
      </c>
      <c r="AP68" s="30">
        <v>0</v>
      </c>
      <c r="AQ68" s="32">
        <f t="shared" si="98"/>
        <v>108050831.53511843</v>
      </c>
      <c r="AR68" s="31">
        <f t="shared" si="22"/>
        <v>1168643.4251135539</v>
      </c>
      <c r="AS68" s="31">
        <f t="shared" si="23"/>
        <v>1102243.7531723443</v>
      </c>
      <c r="AT68" s="31">
        <f t="shared" si="99"/>
        <v>2270887.1782858982</v>
      </c>
      <c r="AU68" s="33">
        <f t="shared" si="100"/>
        <v>450523411.00828958</v>
      </c>
    </row>
    <row r="69" spans="1:47" ht="15" customHeight="1" x14ac:dyDescent="0.2">
      <c r="A69" s="41" t="s">
        <v>84</v>
      </c>
      <c r="B69" s="78" t="s">
        <v>108</v>
      </c>
      <c r="C69" s="35">
        <v>5</v>
      </c>
      <c r="D69" s="30">
        <f>+Vigencia_2021!D69*1.003</f>
        <v>1184004.389</v>
      </c>
      <c r="E69" s="30">
        <f t="shared" si="88"/>
        <v>71040263.340000004</v>
      </c>
      <c r="F69" s="30">
        <v>0</v>
      </c>
      <c r="G69" s="30">
        <v>0</v>
      </c>
      <c r="H69" s="30">
        <f t="shared" si="101"/>
        <v>841476</v>
      </c>
      <c r="I69" s="30">
        <f t="shared" si="91"/>
        <v>1315776</v>
      </c>
      <c r="J69" s="30">
        <f t="shared" si="26"/>
        <v>3060174.288376736</v>
      </c>
      <c r="K69" s="30">
        <f t="shared" si="92"/>
        <v>2960010.9725000001</v>
      </c>
      <c r="L69" s="30">
        <f t="shared" ref="L69:L73" si="103">+((((D69/30)/8)*50)*12)*C69</f>
        <v>14800054.862499999</v>
      </c>
      <c r="M69" s="30">
        <f t="shared" si="82"/>
        <v>6677604.041201788</v>
      </c>
      <c r="N69" s="30">
        <f t="shared" si="86"/>
        <v>3070799.8935447112</v>
      </c>
      <c r="O69" s="30"/>
      <c r="P69" s="30">
        <f t="shared" si="11"/>
        <v>103766159.39812323</v>
      </c>
      <c r="Q69" s="30"/>
      <c r="R69" s="30"/>
      <c r="S69" s="30"/>
      <c r="T69" s="30"/>
      <c r="U69" s="30">
        <f t="shared" si="93"/>
        <v>0</v>
      </c>
      <c r="V69" s="30">
        <f t="shared" si="90"/>
        <v>103766159.39812323</v>
      </c>
      <c r="W69" s="30">
        <f t="shared" si="94"/>
        <v>4440016.4587500002</v>
      </c>
      <c r="X69" s="30">
        <v>0</v>
      </c>
      <c r="Y69" s="30">
        <f t="shared" si="60"/>
        <v>394668.12966666662</v>
      </c>
      <c r="Z69" s="30">
        <f t="shared" si="95"/>
        <v>4834684.5884166667</v>
      </c>
      <c r="AA69" s="30"/>
      <c r="AB69" s="30"/>
      <c r="AC69" s="30"/>
      <c r="AD69" s="30"/>
      <c r="AE69" s="30">
        <f t="shared" si="96"/>
        <v>0</v>
      </c>
      <c r="AF69" s="30">
        <f t="shared" si="97"/>
        <v>4834684.5884166667</v>
      </c>
      <c r="AG69" s="30">
        <f t="shared" si="28"/>
        <v>9029717.2007999979</v>
      </c>
      <c r="AH69" s="30">
        <f t="shared" si="29"/>
        <v>6242755.5482885418</v>
      </c>
      <c r="AI69" s="30">
        <f t="shared" si="30"/>
        <v>6120348.576753472</v>
      </c>
      <c r="AJ69" s="31">
        <f t="shared" si="16"/>
        <v>3285814.423080042</v>
      </c>
      <c r="AK69" s="31">
        <f t="shared" si="17"/>
        <v>476021.63334844488</v>
      </c>
      <c r="AL69" s="30">
        <f t="shared" si="18"/>
        <v>2488874.3392479634</v>
      </c>
      <c r="AM69" s="31">
        <f t="shared" si="19"/>
        <v>464387.87540572905</v>
      </c>
      <c r="AN69" s="31">
        <f t="shared" si="20"/>
        <v>464387.87540572905</v>
      </c>
      <c r="AO69" s="30">
        <f t="shared" si="21"/>
        <v>854727.39111999981</v>
      </c>
      <c r="AP69" s="30">
        <v>0</v>
      </c>
      <c r="AQ69" s="32">
        <f t="shared" si="98"/>
        <v>29427034.863449924</v>
      </c>
      <c r="AR69" s="31">
        <f t="shared" si="22"/>
        <v>308750.46021448704</v>
      </c>
      <c r="AS69" s="31">
        <f t="shared" si="23"/>
        <v>291207.95851603494</v>
      </c>
      <c r="AT69" s="31">
        <f t="shared" si="99"/>
        <v>599958.41873052204</v>
      </c>
      <c r="AU69" s="33">
        <f t="shared" si="100"/>
        <v>138027878.84998983</v>
      </c>
    </row>
    <row r="70" spans="1:47" ht="15" customHeight="1" x14ac:dyDescent="0.2">
      <c r="A70" s="41" t="s">
        <v>84</v>
      </c>
      <c r="B70" s="78" t="s">
        <v>109</v>
      </c>
      <c r="C70" s="35">
        <v>2</v>
      </c>
      <c r="D70" s="30">
        <f>+Vigencia_2021!D70*1.003</f>
        <v>1425035.2662421998</v>
      </c>
      <c r="E70" s="30">
        <f t="shared" si="88"/>
        <v>34200846.389812797</v>
      </c>
      <c r="F70" s="30">
        <v>0</v>
      </c>
      <c r="G70" s="30">
        <v>0</v>
      </c>
      <c r="H70" s="30">
        <f t="shared" si="101"/>
        <v>841476</v>
      </c>
      <c r="I70" s="30">
        <f t="shared" si="91"/>
        <v>1315776</v>
      </c>
      <c r="J70" s="30">
        <f t="shared" si="26"/>
        <v>1519868.8053610965</v>
      </c>
      <c r="K70" s="30">
        <f t="shared" si="92"/>
        <v>1425035.2662421998</v>
      </c>
      <c r="L70" s="30">
        <f t="shared" si="103"/>
        <v>7125176.3312109988</v>
      </c>
      <c r="M70" s="30">
        <f t="shared" si="82"/>
        <v>3222574.7157515017</v>
      </c>
      <c r="N70" s="30">
        <f t="shared" si="86"/>
        <v>1525146.1276019337</v>
      </c>
      <c r="O70" s="30"/>
      <c r="P70" s="30">
        <f t="shared" si="11"/>
        <v>51175899.635980532</v>
      </c>
      <c r="Q70" s="30"/>
      <c r="R70" s="30"/>
      <c r="S70" s="30"/>
      <c r="T70" s="30"/>
      <c r="U70" s="30">
        <f t="shared" si="93"/>
        <v>0</v>
      </c>
      <c r="V70" s="30">
        <f t="shared" si="90"/>
        <v>51175899.635980532</v>
      </c>
      <c r="W70" s="30">
        <f t="shared" si="94"/>
        <v>2137552.8993632998</v>
      </c>
      <c r="X70" s="30">
        <v>0</v>
      </c>
      <c r="Y70" s="30">
        <f t="shared" si="60"/>
        <v>190004.70216562663</v>
      </c>
      <c r="Z70" s="30">
        <f t="shared" si="95"/>
        <v>2327557.6015289263</v>
      </c>
      <c r="AA70" s="30"/>
      <c r="AB70" s="30"/>
      <c r="AC70" s="30"/>
      <c r="AD70" s="30"/>
      <c r="AE70" s="30">
        <f t="shared" si="96"/>
        <v>0</v>
      </c>
      <c r="AF70" s="30">
        <f t="shared" si="97"/>
        <v>2327557.6015289263</v>
      </c>
      <c r="AG70" s="30">
        <f t="shared" si="28"/>
        <v>4306055.806777535</v>
      </c>
      <c r="AH70" s="30">
        <f t="shared" si="29"/>
        <v>3100532.3629366369</v>
      </c>
      <c r="AI70" s="30">
        <f t="shared" si="30"/>
        <v>3039737.610722193</v>
      </c>
      <c r="AJ70" s="31">
        <f t="shared" si="16"/>
        <v>1581886.5114751963</v>
      </c>
      <c r="AK70" s="31">
        <f t="shared" si="17"/>
        <v>229170.64204083721</v>
      </c>
      <c r="AL70" s="30">
        <f t="shared" si="18"/>
        <v>1198216.4051500321</v>
      </c>
      <c r="AM70" s="31">
        <f t="shared" si="19"/>
        <v>223569.81302320244</v>
      </c>
      <c r="AN70" s="31">
        <f t="shared" si="20"/>
        <v>223569.81302320244</v>
      </c>
      <c r="AO70" s="30">
        <f t="shared" si="21"/>
        <v>411490.59469210799</v>
      </c>
      <c r="AP70" s="30">
        <v>0</v>
      </c>
      <c r="AQ70" s="32">
        <f t="shared" si="98"/>
        <v>14314229.559840942</v>
      </c>
      <c r="AR70" s="31">
        <f t="shared" si="22"/>
        <v>148641.44030606403</v>
      </c>
      <c r="AS70" s="31">
        <f t="shared" si="23"/>
        <v>140195.97040387164</v>
      </c>
      <c r="AT70" s="31">
        <f t="shared" si="99"/>
        <v>288837.41070993571</v>
      </c>
      <c r="AU70" s="33">
        <f t="shared" si="100"/>
        <v>67817686.797350407</v>
      </c>
    </row>
    <row r="71" spans="1:47" ht="15" customHeight="1" x14ac:dyDescent="0.2">
      <c r="A71" s="41" t="s">
        <v>84</v>
      </c>
      <c r="B71" s="78" t="s">
        <v>110</v>
      </c>
      <c r="C71" s="35">
        <v>4</v>
      </c>
      <c r="D71" s="30">
        <f>+Vigencia_2021!D71*1.003</f>
        <v>1518505.8919999998</v>
      </c>
      <c r="E71" s="30">
        <f t="shared" si="88"/>
        <v>72888282.815999985</v>
      </c>
      <c r="F71" s="30">
        <v>0</v>
      </c>
      <c r="G71" s="30">
        <v>0</v>
      </c>
      <c r="H71" s="30">
        <f t="shared" si="101"/>
        <v>841476</v>
      </c>
      <c r="I71" s="30">
        <f t="shared" si="91"/>
        <v>1315776</v>
      </c>
      <c r="J71" s="30">
        <f t="shared" si="26"/>
        <v>3137442.4638055549</v>
      </c>
      <c r="K71" s="30">
        <f t="shared" si="92"/>
        <v>3037011.7839999995</v>
      </c>
      <c r="L71" s="30">
        <f t="shared" si="103"/>
        <v>15185058.919999998</v>
      </c>
      <c r="M71" s="30">
        <f t="shared" si="82"/>
        <v>6850922.7854212392</v>
      </c>
      <c r="N71" s="30">
        <f t="shared" si="86"/>
        <v>3148336.3612493244</v>
      </c>
      <c r="O71" s="30"/>
      <c r="P71" s="30">
        <f t="shared" si="11"/>
        <v>106404307.1304761</v>
      </c>
      <c r="Q71" s="30"/>
      <c r="R71" s="30"/>
      <c r="S71" s="30"/>
      <c r="T71" s="30"/>
      <c r="U71" s="30">
        <f t="shared" si="93"/>
        <v>0</v>
      </c>
      <c r="V71" s="30">
        <f t="shared" si="90"/>
        <v>106404307.1304761</v>
      </c>
      <c r="W71" s="30">
        <f t="shared" si="94"/>
        <v>4555517.675999999</v>
      </c>
      <c r="X71" s="30">
        <v>0</v>
      </c>
      <c r="Y71" s="30">
        <f t="shared" si="60"/>
        <v>404934.90453333326</v>
      </c>
      <c r="Z71" s="30">
        <f t="shared" si="95"/>
        <v>4960452.5805333322</v>
      </c>
      <c r="AA71" s="30"/>
      <c r="AB71" s="30"/>
      <c r="AC71" s="30"/>
      <c r="AD71" s="30"/>
      <c r="AE71" s="30">
        <f t="shared" si="96"/>
        <v>0</v>
      </c>
      <c r="AF71" s="30">
        <f t="shared" si="97"/>
        <v>4960452.5805333322</v>
      </c>
      <c r="AG71" s="30">
        <f t="shared" si="28"/>
        <v>9150502.4179199971</v>
      </c>
      <c r="AH71" s="30">
        <f t="shared" si="29"/>
        <v>6400382.6261633327</v>
      </c>
      <c r="AI71" s="30">
        <f t="shared" si="30"/>
        <v>6274884.9276111098</v>
      </c>
      <c r="AJ71" s="31">
        <f t="shared" si="16"/>
        <v>3371290.5849477379</v>
      </c>
      <c r="AK71" s="31">
        <f t="shared" si="17"/>
        <v>488404.71314102679</v>
      </c>
      <c r="AL71" s="30">
        <f t="shared" si="18"/>
        <v>2553619.1478395872</v>
      </c>
      <c r="AM71" s="31">
        <f t="shared" si="19"/>
        <v>476468.31821125036</v>
      </c>
      <c r="AN71" s="31">
        <f t="shared" si="20"/>
        <v>476468.31821125036</v>
      </c>
      <c r="AO71" s="30">
        <f t="shared" si="21"/>
        <v>876962.00556534121</v>
      </c>
      <c r="AP71" s="30">
        <v>0</v>
      </c>
      <c r="AQ71" s="32">
        <f t="shared" si="98"/>
        <v>30068983.059610635</v>
      </c>
      <c r="AR71" s="31">
        <f t="shared" si="22"/>
        <v>316782.19935612765</v>
      </c>
      <c r="AS71" s="31">
        <f t="shared" si="23"/>
        <v>298783.35243494814</v>
      </c>
      <c r="AT71" s="31">
        <f t="shared" si="99"/>
        <v>615565.55179107585</v>
      </c>
      <c r="AU71" s="33">
        <f t="shared" si="100"/>
        <v>141433742.77062005</v>
      </c>
    </row>
    <row r="72" spans="1:47" ht="15" customHeight="1" x14ac:dyDescent="0.2">
      <c r="A72" s="41" t="s">
        <v>84</v>
      </c>
      <c r="B72" s="78" t="s">
        <v>111</v>
      </c>
      <c r="C72" s="35">
        <v>4</v>
      </c>
      <c r="D72" s="30">
        <f>+Vigencia_2021!D72*1.003</f>
        <v>1556995.0139999997</v>
      </c>
      <c r="E72" s="30">
        <f t="shared" si="88"/>
        <v>74735760.671999991</v>
      </c>
      <c r="F72" s="30">
        <v>0</v>
      </c>
      <c r="G72" s="30">
        <v>0</v>
      </c>
      <c r="H72" s="30">
        <f t="shared" si="101"/>
        <v>841476</v>
      </c>
      <c r="I72" s="30">
        <f t="shared" si="91"/>
        <v>1315776</v>
      </c>
      <c r="J72" s="30">
        <f t="shared" si="26"/>
        <v>3214687.9933749996</v>
      </c>
      <c r="K72" s="30">
        <f t="shared" si="92"/>
        <v>3113990.0279999995</v>
      </c>
      <c r="L72" s="30">
        <f t="shared" si="103"/>
        <v>15569950.139999997</v>
      </c>
      <c r="M72" s="30">
        <f t="shared" si="82"/>
        <v>7024190.7331531746</v>
      </c>
      <c r="N72" s="30">
        <f t="shared" si="86"/>
        <v>3225850.1044631074</v>
      </c>
      <c r="O72" s="30"/>
      <c r="P72" s="30">
        <f t="shared" si="11"/>
        <v>109041681.67099127</v>
      </c>
      <c r="Q72" s="30"/>
      <c r="R72" s="30"/>
      <c r="S72" s="30"/>
      <c r="T72" s="30"/>
      <c r="U72" s="30">
        <f t="shared" si="93"/>
        <v>0</v>
      </c>
      <c r="V72" s="30">
        <f t="shared" si="90"/>
        <v>109041681.67099127</v>
      </c>
      <c r="W72" s="30">
        <f t="shared" si="94"/>
        <v>4670985.0419999994</v>
      </c>
      <c r="X72" s="30">
        <v>0</v>
      </c>
      <c r="Y72" s="30">
        <f t="shared" si="60"/>
        <v>415198.67039999994</v>
      </c>
      <c r="Z72" s="30">
        <f t="shared" si="95"/>
        <v>5086183.7123999996</v>
      </c>
      <c r="AA72" s="30"/>
      <c r="AB72" s="30"/>
      <c r="AC72" s="30"/>
      <c r="AD72" s="30"/>
      <c r="AE72" s="30">
        <f t="shared" si="96"/>
        <v>0</v>
      </c>
      <c r="AF72" s="30">
        <f t="shared" si="97"/>
        <v>5086183.7123999996</v>
      </c>
      <c r="AG72" s="30">
        <f t="shared" si="28"/>
        <v>9372199.7606399991</v>
      </c>
      <c r="AH72" s="30">
        <f t="shared" si="29"/>
        <v>6557963.5064849993</v>
      </c>
      <c r="AI72" s="30">
        <f t="shared" si="30"/>
        <v>6429375.9867499992</v>
      </c>
      <c r="AJ72" s="31">
        <f t="shared" si="16"/>
        <v>3456741.6953485035</v>
      </c>
      <c r="AK72" s="31">
        <f t="shared" si="17"/>
        <v>500784.16368415311</v>
      </c>
      <c r="AL72" s="30">
        <f t="shared" si="18"/>
        <v>2618344.9809368048</v>
      </c>
      <c r="AM72" s="31">
        <f t="shared" si="19"/>
        <v>488545.22046456579</v>
      </c>
      <c r="AN72" s="31">
        <f t="shared" si="20"/>
        <v>488545.22046456579</v>
      </c>
      <c r="AO72" s="30">
        <f t="shared" si="21"/>
        <v>899190.10346037999</v>
      </c>
      <c r="AP72" s="30">
        <v>0</v>
      </c>
      <c r="AQ72" s="32">
        <f t="shared" si="98"/>
        <v>30811690.638233967</v>
      </c>
      <c r="AR72" s="31">
        <f t="shared" si="22"/>
        <v>324811.58454500401</v>
      </c>
      <c r="AS72" s="31">
        <f t="shared" si="23"/>
        <v>306356.52614736056</v>
      </c>
      <c r="AT72" s="31">
        <f t="shared" si="99"/>
        <v>631168.11069236463</v>
      </c>
      <c r="AU72" s="33">
        <f t="shared" si="100"/>
        <v>144939556.02162525</v>
      </c>
    </row>
    <row r="73" spans="1:47" ht="15" customHeight="1" x14ac:dyDescent="0.2">
      <c r="A73" s="41" t="s">
        <v>84</v>
      </c>
      <c r="B73" s="78" t="s">
        <v>112</v>
      </c>
      <c r="C73" s="35">
        <v>13</v>
      </c>
      <c r="D73" s="30">
        <f>+Vigencia_2021!D73*1.003</f>
        <v>1713502.1309999998</v>
      </c>
      <c r="E73" s="30">
        <f t="shared" si="88"/>
        <v>267306332.43599999</v>
      </c>
      <c r="F73" s="30">
        <v>0</v>
      </c>
      <c r="G73" s="30">
        <v>0</v>
      </c>
      <c r="H73" s="30">
        <f t="shared" si="101"/>
        <v>841476</v>
      </c>
      <c r="I73" s="30">
        <f t="shared" si="91"/>
        <v>1315776</v>
      </c>
      <c r="J73" s="30">
        <f t="shared" si="26"/>
        <v>11254720.305305729</v>
      </c>
      <c r="K73" s="30">
        <f t="shared" si="92"/>
        <v>7796434.6960499994</v>
      </c>
      <c r="L73" s="30">
        <f t="shared" si="103"/>
        <v>55688819.257499985</v>
      </c>
      <c r="M73" s="30">
        <f t="shared" si="82"/>
        <v>24804273.886050869</v>
      </c>
      <c r="N73" s="30">
        <f t="shared" si="86"/>
        <v>11293799.195254708</v>
      </c>
      <c r="O73" s="30"/>
      <c r="P73" s="30">
        <f t="shared" si="11"/>
        <v>380301631.77616125</v>
      </c>
      <c r="Q73" s="30"/>
      <c r="R73" s="30"/>
      <c r="S73" s="30"/>
      <c r="T73" s="30"/>
      <c r="U73" s="30">
        <f t="shared" si="93"/>
        <v>0</v>
      </c>
      <c r="V73" s="30">
        <f t="shared" si="90"/>
        <v>380301631.77616125</v>
      </c>
      <c r="W73" s="30">
        <f t="shared" si="94"/>
        <v>16706645.777249997</v>
      </c>
      <c r="X73" s="30">
        <v>0</v>
      </c>
      <c r="Y73" s="30">
        <f t="shared" si="60"/>
        <v>1485035.1801999998</v>
      </c>
      <c r="Z73" s="30">
        <f t="shared" si="95"/>
        <v>18191680.957449999</v>
      </c>
      <c r="AA73" s="30"/>
      <c r="AB73" s="30"/>
      <c r="AC73" s="30"/>
      <c r="AD73" s="30"/>
      <c r="AE73" s="30">
        <f t="shared" si="96"/>
        <v>0</v>
      </c>
      <c r="AF73" s="30">
        <f t="shared" si="97"/>
        <v>18191680.957449999</v>
      </c>
      <c r="AG73" s="30">
        <f t="shared" si="28"/>
        <v>33389462.452319991</v>
      </c>
      <c r="AH73" s="30">
        <f t="shared" si="29"/>
        <v>22959629.42282369</v>
      </c>
      <c r="AI73" s="30">
        <f t="shared" si="30"/>
        <v>22509440.610611457</v>
      </c>
      <c r="AJ73" s="31">
        <f t="shared" si="16"/>
        <v>12363678.866098603</v>
      </c>
      <c r="AK73" s="31">
        <f t="shared" si="17"/>
        <v>1791147.596984219</v>
      </c>
      <c r="AL73" s="30">
        <f t="shared" si="18"/>
        <v>9364997.2598545533</v>
      </c>
      <c r="AM73" s="31">
        <f t="shared" si="19"/>
        <v>1747372.7428112815</v>
      </c>
      <c r="AN73" s="31">
        <f t="shared" si="20"/>
        <v>1747372.7428112815</v>
      </c>
      <c r="AO73" s="30">
        <f t="shared" si="21"/>
        <v>3216120.4563586246</v>
      </c>
      <c r="AP73" s="30">
        <v>0</v>
      </c>
      <c r="AQ73" s="32">
        <f t="shared" si="98"/>
        <v>109089222.15067369</v>
      </c>
      <c r="AR73" s="31">
        <f t="shared" si="22"/>
        <v>1161748.9755473877</v>
      </c>
      <c r="AS73" s="31">
        <f t="shared" si="23"/>
        <v>1095741.030611671</v>
      </c>
      <c r="AT73" s="31">
        <f t="shared" si="99"/>
        <v>2257490.0061590588</v>
      </c>
      <c r="AU73" s="33">
        <f t="shared" si="100"/>
        <v>507582534.88428491</v>
      </c>
    </row>
    <row r="74" spans="1:47" ht="15" customHeight="1" x14ac:dyDescent="0.2">
      <c r="A74" s="41" t="s">
        <v>84</v>
      </c>
      <c r="B74" s="35">
        <v>10</v>
      </c>
      <c r="C74" s="35">
        <v>1</v>
      </c>
      <c r="D74" s="30">
        <f>+Vigencia_2021!D74*1.003</f>
        <v>1793090.0098881996</v>
      </c>
      <c r="E74" s="30">
        <f t="shared" si="88"/>
        <v>21517080.118658394</v>
      </c>
      <c r="F74" s="30">
        <v>0</v>
      </c>
      <c r="G74" s="30">
        <v>0</v>
      </c>
      <c r="H74" s="30">
        <f t="shared" si="101"/>
        <v>841476</v>
      </c>
      <c r="I74" s="30">
        <f t="shared" si="91"/>
        <v>1315776</v>
      </c>
      <c r="J74" s="30">
        <f t="shared" si="26"/>
        <v>988609.60738667229</v>
      </c>
      <c r="K74" s="30">
        <f t="shared" si="92"/>
        <v>627581.50346086978</v>
      </c>
      <c r="L74" s="30">
        <v>0</v>
      </c>
      <c r="M74" s="30">
        <f t="shared" si="82"/>
        <v>2010442.7924283731</v>
      </c>
      <c r="N74" s="30">
        <f t="shared" si="86"/>
        <v>992042.27963454265</v>
      </c>
      <c r="O74" s="30"/>
      <c r="P74" s="30">
        <f t="shared" si="11"/>
        <v>28293008.301568851</v>
      </c>
      <c r="Q74" s="30"/>
      <c r="R74" s="30"/>
      <c r="S74" s="30"/>
      <c r="T74" s="30"/>
      <c r="U74" s="30">
        <f t="shared" si="93"/>
        <v>0</v>
      </c>
      <c r="V74" s="30">
        <f t="shared" si="90"/>
        <v>28293008.301568851</v>
      </c>
      <c r="W74" s="30">
        <f t="shared" si="94"/>
        <v>1344817.5074161496</v>
      </c>
      <c r="X74" s="30">
        <v>0</v>
      </c>
      <c r="Y74" s="30">
        <f t="shared" si="60"/>
        <v>119539.33399254664</v>
      </c>
      <c r="Z74" s="30">
        <f t="shared" si="95"/>
        <v>1464356.8414086963</v>
      </c>
      <c r="AA74" s="30"/>
      <c r="AB74" s="30"/>
      <c r="AC74" s="30"/>
      <c r="AD74" s="30"/>
      <c r="AE74" s="30">
        <f t="shared" si="96"/>
        <v>0</v>
      </c>
      <c r="AF74" s="30">
        <f t="shared" si="97"/>
        <v>1464356.8414086963</v>
      </c>
      <c r="AG74" s="30">
        <f t="shared" si="28"/>
        <v>2683026.7342390073</v>
      </c>
      <c r="AH74" s="30">
        <f t="shared" si="29"/>
        <v>2016763.5990688116</v>
      </c>
      <c r="AI74" s="30">
        <f t="shared" si="30"/>
        <v>1977219.2147733446</v>
      </c>
      <c r="AJ74" s="31">
        <f t="shared" si="16"/>
        <v>995226.21218448575</v>
      </c>
      <c r="AK74" s="31">
        <f t="shared" si="17"/>
        <v>144180.14716459974</v>
      </c>
      <c r="AL74" s="30">
        <f t="shared" si="18"/>
        <v>753844.45446892967</v>
      </c>
      <c r="AM74" s="31">
        <f t="shared" si="19"/>
        <v>140656.44820903084</v>
      </c>
      <c r="AN74" s="31">
        <f t="shared" si="20"/>
        <v>140656.44820903084</v>
      </c>
      <c r="AO74" s="30">
        <f t="shared" si="21"/>
        <v>258884.70692063891</v>
      </c>
      <c r="AP74" s="30">
        <v>0</v>
      </c>
      <c r="AQ74" s="32">
        <f t="shared" si="98"/>
        <v>9110457.9652378801</v>
      </c>
      <c r="AR74" s="31">
        <f t="shared" si="22"/>
        <v>93516.100261513609</v>
      </c>
      <c r="AS74" s="31">
        <f t="shared" si="23"/>
        <v>88202.727298342739</v>
      </c>
      <c r="AT74" s="31">
        <f t="shared" si="99"/>
        <v>181718.82755985635</v>
      </c>
      <c r="AU74" s="33">
        <f t="shared" si="100"/>
        <v>38867823.108215429</v>
      </c>
    </row>
    <row r="75" spans="1:47" ht="15" customHeight="1" x14ac:dyDescent="0.2">
      <c r="A75" s="41" t="s">
        <v>84</v>
      </c>
      <c r="B75" s="35">
        <v>11</v>
      </c>
      <c r="C75" s="35">
        <v>7</v>
      </c>
      <c r="D75" s="30">
        <f>+Vigencia_2021!D75*1.003</f>
        <v>1890322.6589589997</v>
      </c>
      <c r="E75" s="30">
        <f t="shared" si="88"/>
        <v>158787103.35255599</v>
      </c>
      <c r="F75" s="30">
        <v>0</v>
      </c>
      <c r="G75" s="30">
        <v>0</v>
      </c>
      <c r="H75" s="30">
        <f t="shared" si="101"/>
        <v>841476</v>
      </c>
      <c r="I75" s="30">
        <f t="shared" si="91"/>
        <v>0</v>
      </c>
      <c r="J75" s="30">
        <f t="shared" si="26"/>
        <v>6667271.6761983382</v>
      </c>
      <c r="K75" s="30">
        <f t="shared" si="92"/>
        <v>4631290.5144495489</v>
      </c>
      <c r="L75" s="30">
        <v>0</v>
      </c>
      <c r="M75" s="30">
        <f t="shared" si="82"/>
        <v>14731340.622356493</v>
      </c>
      <c r="N75" s="30">
        <f t="shared" si="86"/>
        <v>6690421.9250740269</v>
      </c>
      <c r="O75" s="30"/>
      <c r="P75" s="30">
        <f t="shared" si="11"/>
        <v>192348904.09063441</v>
      </c>
      <c r="Q75" s="30"/>
      <c r="R75" s="30"/>
      <c r="S75" s="30"/>
      <c r="T75" s="30"/>
      <c r="U75" s="30">
        <f t="shared" si="93"/>
        <v>0</v>
      </c>
      <c r="V75" s="30">
        <f t="shared" si="90"/>
        <v>192348904.09063441</v>
      </c>
      <c r="W75" s="30">
        <f t="shared" si="94"/>
        <v>9924193.9595347494</v>
      </c>
      <c r="X75" s="30">
        <v>0</v>
      </c>
      <c r="Y75" s="30">
        <f t="shared" si="60"/>
        <v>882150.57418086659</v>
      </c>
      <c r="Z75" s="30">
        <f t="shared" si="95"/>
        <v>10806344.533715617</v>
      </c>
      <c r="AA75" s="30"/>
      <c r="AB75" s="30"/>
      <c r="AC75" s="30"/>
      <c r="AD75" s="30"/>
      <c r="AE75" s="30">
        <f t="shared" si="96"/>
        <v>0</v>
      </c>
      <c r="AF75" s="30">
        <f t="shared" si="97"/>
        <v>10806344.533715617</v>
      </c>
      <c r="AG75" s="30">
        <f t="shared" si="28"/>
        <v>19761292.242306717</v>
      </c>
      <c r="AH75" s="30">
        <f t="shared" si="29"/>
        <v>13601234.219444612</v>
      </c>
      <c r="AI75" s="30">
        <f t="shared" si="30"/>
        <v>13334543.352396676</v>
      </c>
      <c r="AJ75" s="31">
        <f t="shared" si="16"/>
        <v>7344355.5790024158</v>
      </c>
      <c r="AK75" s="31">
        <f t="shared" si="17"/>
        <v>1063989.5284564975</v>
      </c>
      <c r="AL75" s="30">
        <f t="shared" si="18"/>
        <v>5563058.5861745877</v>
      </c>
      <c r="AM75" s="31">
        <f t="shared" si="19"/>
        <v>1037986.095502041</v>
      </c>
      <c r="AN75" s="31">
        <f t="shared" si="20"/>
        <v>1037986.095502041</v>
      </c>
      <c r="AO75" s="30">
        <f t="shared" si="21"/>
        <v>1910461.4793230009</v>
      </c>
      <c r="AP75" s="30">
        <v>0</v>
      </c>
      <c r="AQ75" s="32">
        <f t="shared" si="98"/>
        <v>64654907.17810858</v>
      </c>
      <c r="AR75" s="31">
        <f t="shared" si="22"/>
        <v>690109.93106246798</v>
      </c>
      <c r="AS75" s="31">
        <f t="shared" si="23"/>
        <v>650899.44817161863</v>
      </c>
      <c r="AT75" s="31">
        <f t="shared" si="99"/>
        <v>1341009.3792340867</v>
      </c>
      <c r="AU75" s="33">
        <f t="shared" si="100"/>
        <v>267810155.80245858</v>
      </c>
    </row>
    <row r="76" spans="1:47" ht="15" customHeight="1" x14ac:dyDescent="0.2">
      <c r="A76" s="41" t="s">
        <v>84</v>
      </c>
      <c r="B76" s="35">
        <v>12</v>
      </c>
      <c r="C76" s="35">
        <v>3</v>
      </c>
      <c r="D76" s="30">
        <f>+Vigencia_2021!D76*1.003</f>
        <v>2004518.2247703997</v>
      </c>
      <c r="E76" s="30">
        <f t="shared" si="88"/>
        <v>72162656.091734394</v>
      </c>
      <c r="F76" s="30">
        <v>0</v>
      </c>
      <c r="G76" s="30">
        <v>0</v>
      </c>
      <c r="H76" s="30">
        <f t="shared" si="101"/>
        <v>0</v>
      </c>
      <c r="I76" s="30">
        <f t="shared" si="91"/>
        <v>0</v>
      </c>
      <c r="J76" s="30">
        <f t="shared" si="26"/>
        <v>3014085.4765167418</v>
      </c>
      <c r="K76" s="30">
        <f t="shared" si="92"/>
        <v>2104744.1360089192</v>
      </c>
      <c r="L76" s="30">
        <v>0</v>
      </c>
      <c r="M76" s="30">
        <f t="shared" si="82"/>
        <v>6692169.7296123356</v>
      </c>
      <c r="N76" s="30">
        <f t="shared" si="86"/>
        <v>3024551.0510879806</v>
      </c>
      <c r="O76" s="30"/>
      <c r="P76" s="30">
        <f t="shared" si="11"/>
        <v>86998206.484960362</v>
      </c>
      <c r="Q76" s="30"/>
      <c r="R76" s="30"/>
      <c r="S76" s="30"/>
      <c r="T76" s="30"/>
      <c r="U76" s="30">
        <f t="shared" si="93"/>
        <v>0</v>
      </c>
      <c r="V76" s="30">
        <f t="shared" si="90"/>
        <v>86998206.484960362</v>
      </c>
      <c r="W76" s="30">
        <f t="shared" si="94"/>
        <v>4510166.0057333997</v>
      </c>
      <c r="X76" s="30">
        <v>0</v>
      </c>
      <c r="Y76" s="30">
        <f t="shared" si="60"/>
        <v>400903.64495407994</v>
      </c>
      <c r="Z76" s="30">
        <f t="shared" si="95"/>
        <v>4911069.6506874794</v>
      </c>
      <c r="AA76" s="30"/>
      <c r="AB76" s="30"/>
      <c r="AC76" s="30"/>
      <c r="AD76" s="30"/>
      <c r="AE76" s="30">
        <f t="shared" si="96"/>
        <v>0</v>
      </c>
      <c r="AF76" s="30">
        <f t="shared" si="97"/>
        <v>4911069.6506874794</v>
      </c>
      <c r="AG76" s="30">
        <f t="shared" si="28"/>
        <v>8659518.7310081273</v>
      </c>
      <c r="AH76" s="30">
        <f t="shared" si="29"/>
        <v>6148734.3720941534</v>
      </c>
      <c r="AI76" s="30">
        <f t="shared" si="30"/>
        <v>6028170.9530334836</v>
      </c>
      <c r="AJ76" s="31">
        <f t="shared" si="16"/>
        <v>3337728.2831731369</v>
      </c>
      <c r="AK76" s="31">
        <f t="shared" si="17"/>
        <v>483542.48428310384</v>
      </c>
      <c r="AL76" s="30">
        <f t="shared" si="18"/>
        <v>2528197.0329854554</v>
      </c>
      <c r="AM76" s="31">
        <f t="shared" si="19"/>
        <v>471724.92007368203</v>
      </c>
      <c r="AN76" s="31">
        <f t="shared" si="20"/>
        <v>471724.92007368203</v>
      </c>
      <c r="AO76" s="30">
        <f t="shared" si="21"/>
        <v>868231.56161991088</v>
      </c>
      <c r="AP76" s="30">
        <v>0</v>
      </c>
      <c r="AQ76" s="32">
        <f t="shared" si="98"/>
        <v>28997573.258344736</v>
      </c>
      <c r="AR76" s="31">
        <f t="shared" si="22"/>
        <v>313628.52882440836</v>
      </c>
      <c r="AS76" s="31">
        <f t="shared" si="23"/>
        <v>295808.86631843791</v>
      </c>
      <c r="AT76" s="31">
        <f t="shared" si="99"/>
        <v>609437.39514284628</v>
      </c>
      <c r="AU76" s="33">
        <f t="shared" si="100"/>
        <v>120906849.39399259</v>
      </c>
    </row>
    <row r="77" spans="1:47" ht="15" customHeight="1" x14ac:dyDescent="0.2">
      <c r="A77" s="41" t="s">
        <v>84</v>
      </c>
      <c r="B77" s="35">
        <v>15</v>
      </c>
      <c r="C77" s="35">
        <v>6</v>
      </c>
      <c r="D77" s="30">
        <f>+Vigencia_2021!D77*1.003</f>
        <v>2315717.0424111998</v>
      </c>
      <c r="E77" s="30">
        <f t="shared" si="88"/>
        <v>166731627.05360639</v>
      </c>
      <c r="F77" s="30">
        <v>0</v>
      </c>
      <c r="G77" s="30">
        <v>0</v>
      </c>
      <c r="H77" s="30">
        <f t="shared" si="101"/>
        <v>0</v>
      </c>
      <c r="I77" s="30">
        <f t="shared" si="91"/>
        <v>0</v>
      </c>
      <c r="J77" s="30">
        <f t="shared" si="26"/>
        <v>6964036.5640011812</v>
      </c>
      <c r="K77" s="30">
        <f t="shared" si="92"/>
        <v>4863005.7890635189</v>
      </c>
      <c r="L77" s="30">
        <v>0</v>
      </c>
      <c r="M77" s="30">
        <f t="shared" si="82"/>
        <v>15462240.55443218</v>
      </c>
      <c r="N77" s="30">
        <f t="shared" si="86"/>
        <v>6988217.2465150738</v>
      </c>
      <c r="O77" s="30"/>
      <c r="P77" s="30">
        <f t="shared" si="11"/>
        <v>201009127.20761833</v>
      </c>
      <c r="Q77" s="30"/>
      <c r="R77" s="30"/>
      <c r="S77" s="30"/>
      <c r="T77" s="30"/>
      <c r="U77" s="30">
        <f t="shared" si="93"/>
        <v>0</v>
      </c>
      <c r="V77" s="30">
        <f t="shared" si="90"/>
        <v>201009127.20761833</v>
      </c>
      <c r="W77" s="30">
        <f t="shared" si="94"/>
        <v>10420726.690850399</v>
      </c>
      <c r="X77" s="30">
        <v>0</v>
      </c>
      <c r="Y77" s="30">
        <f t="shared" si="60"/>
        <v>926286.81696447986</v>
      </c>
      <c r="Z77" s="30">
        <f t="shared" si="95"/>
        <v>11347013.507814879</v>
      </c>
      <c r="AA77" s="30"/>
      <c r="AB77" s="30"/>
      <c r="AC77" s="30"/>
      <c r="AD77" s="30"/>
      <c r="AE77" s="30">
        <f t="shared" si="96"/>
        <v>0</v>
      </c>
      <c r="AF77" s="30">
        <f t="shared" si="97"/>
        <v>11347013.507814879</v>
      </c>
      <c r="AG77" s="30">
        <f t="shared" si="28"/>
        <v>20007795.246432766</v>
      </c>
      <c r="AH77" s="30">
        <f t="shared" si="29"/>
        <v>14206634.590562411</v>
      </c>
      <c r="AI77" s="30">
        <f t="shared" si="30"/>
        <v>13928073.128002362</v>
      </c>
      <c r="AJ77" s="31">
        <f t="shared" si="16"/>
        <v>7711812.4173375629</v>
      </c>
      <c r="AK77" s="31">
        <f t="shared" si="17"/>
        <v>1117223.6378269806</v>
      </c>
      <c r="AL77" s="30">
        <f t="shared" si="18"/>
        <v>5841392.5935030524</v>
      </c>
      <c r="AM77" s="31">
        <f t="shared" si="19"/>
        <v>1089919.1868108953</v>
      </c>
      <c r="AN77" s="31">
        <f t="shared" si="20"/>
        <v>1089919.1868108953</v>
      </c>
      <c r="AO77" s="30">
        <f t="shared" si="21"/>
        <v>2006046.7389692222</v>
      </c>
      <c r="AP77" s="30">
        <v>0</v>
      </c>
      <c r="AQ77" s="32">
        <f t="shared" si="98"/>
        <v>66998816.72625614</v>
      </c>
      <c r="AR77" s="31">
        <f t="shared" si="22"/>
        <v>724637.89075125335</v>
      </c>
      <c r="AS77" s="31">
        <f t="shared" si="23"/>
        <v>683465.60741138179</v>
      </c>
      <c r="AT77" s="31">
        <f t="shared" si="99"/>
        <v>1408103.4981626351</v>
      </c>
      <c r="AU77" s="33">
        <f t="shared" si="100"/>
        <v>279354957.44168937</v>
      </c>
    </row>
    <row r="78" spans="1:47" ht="15" customHeight="1" x14ac:dyDescent="0.2">
      <c r="A78" s="41" t="s">
        <v>84</v>
      </c>
      <c r="B78" s="35">
        <v>18</v>
      </c>
      <c r="C78" s="35">
        <v>5</v>
      </c>
      <c r="D78" s="30">
        <f>+Vigencia_2021!D78*1.003</f>
        <v>3078024.2633297001</v>
      </c>
      <c r="E78" s="30">
        <f t="shared" si="88"/>
        <v>184681455.79978201</v>
      </c>
      <c r="F78" s="30">
        <v>0</v>
      </c>
      <c r="G78" s="30">
        <v>0</v>
      </c>
      <c r="H78" s="30">
        <f t="shared" si="101"/>
        <v>0</v>
      </c>
      <c r="I78" s="30">
        <f t="shared" si="91"/>
        <v>0</v>
      </c>
      <c r="J78" s="30">
        <f t="shared" si="26"/>
        <v>7713763.9307576781</v>
      </c>
      <c r="K78" s="30">
        <f t="shared" si="92"/>
        <v>5386542.4608269753</v>
      </c>
      <c r="L78" s="30">
        <v>0</v>
      </c>
      <c r="M78" s="30">
        <f t="shared" si="82"/>
        <v>17126859.168721806</v>
      </c>
      <c r="N78" s="30">
        <f t="shared" si="86"/>
        <v>7740547.8332950315</v>
      </c>
      <c r="O78" s="30"/>
      <c r="P78" s="30">
        <f t="shared" si="11"/>
        <v>222649169.19338346</v>
      </c>
      <c r="Q78" s="30"/>
      <c r="R78" s="30"/>
      <c r="S78" s="30"/>
      <c r="T78" s="30"/>
      <c r="U78" s="30">
        <f t="shared" si="93"/>
        <v>0</v>
      </c>
      <c r="V78" s="30">
        <f t="shared" si="90"/>
        <v>222649169.19338346</v>
      </c>
      <c r="W78" s="30">
        <f t="shared" si="94"/>
        <v>11542590.987486375</v>
      </c>
      <c r="X78" s="30">
        <v>0</v>
      </c>
      <c r="Y78" s="30">
        <f t="shared" si="60"/>
        <v>1026008.0877765666</v>
      </c>
      <c r="Z78" s="30">
        <f t="shared" si="95"/>
        <v>12568599.075262941</v>
      </c>
      <c r="AA78" s="30"/>
      <c r="AB78" s="30"/>
      <c r="AC78" s="30"/>
      <c r="AD78" s="30"/>
      <c r="AE78" s="30">
        <f t="shared" si="96"/>
        <v>0</v>
      </c>
      <c r="AF78" s="30">
        <f t="shared" si="97"/>
        <v>12568599.075262941</v>
      </c>
      <c r="AG78" s="30">
        <f t="shared" si="28"/>
        <v>22161774.695973843</v>
      </c>
      <c r="AH78" s="30">
        <f t="shared" si="29"/>
        <v>15736078.418745663</v>
      </c>
      <c r="AI78" s="30">
        <f t="shared" si="30"/>
        <v>15427527.861515356</v>
      </c>
      <c r="AJ78" s="31">
        <f t="shared" si="16"/>
        <v>8542043.0979830176</v>
      </c>
      <c r="AK78" s="31">
        <f t="shared" si="17"/>
        <v>1237500.5962214787</v>
      </c>
      <c r="AL78" s="30">
        <f t="shared" si="18"/>
        <v>6470259.4650465492</v>
      </c>
      <c r="AM78" s="31">
        <f t="shared" si="19"/>
        <v>1207256.6295993382</v>
      </c>
      <c r="AN78" s="31">
        <f t="shared" si="20"/>
        <v>1207256.6295993382</v>
      </c>
      <c r="AO78" s="30">
        <f t="shared" si="21"/>
        <v>2222011.7364783301</v>
      </c>
      <c r="AP78" s="30">
        <v>0</v>
      </c>
      <c r="AQ78" s="32">
        <f t="shared" si="98"/>
        <v>74211709.131162912</v>
      </c>
      <c r="AR78" s="31">
        <f t="shared" si="22"/>
        <v>802650.24072845932</v>
      </c>
      <c r="AS78" s="31">
        <f t="shared" si="23"/>
        <v>757045.47239399154</v>
      </c>
      <c r="AT78" s="31">
        <f t="shared" si="99"/>
        <v>1559695.7131224507</v>
      </c>
      <c r="AU78" s="33">
        <f t="shared" si="100"/>
        <v>309429477.3998093</v>
      </c>
    </row>
    <row r="79" spans="1:47" ht="15" customHeight="1" x14ac:dyDescent="0.2">
      <c r="A79" s="41" t="s">
        <v>85</v>
      </c>
      <c r="B79" s="78" t="s">
        <v>110</v>
      </c>
      <c r="C79" s="35">
        <v>11</v>
      </c>
      <c r="D79" s="30">
        <f>+Vigencia_2021!D79*1.003</f>
        <v>1518505.8919999998</v>
      </c>
      <c r="E79" s="30">
        <f t="shared" si="88"/>
        <v>200442777.74399996</v>
      </c>
      <c r="F79" s="30">
        <v>0</v>
      </c>
      <c r="G79" s="30">
        <v>0</v>
      </c>
      <c r="H79" s="30">
        <f t="shared" si="101"/>
        <v>841476</v>
      </c>
      <c r="I79" s="30">
        <f t="shared" si="91"/>
        <v>1315776</v>
      </c>
      <c r="J79" s="30">
        <f t="shared" si="26"/>
        <v>8470667.1504652761</v>
      </c>
      <c r="K79" s="30">
        <f t="shared" si="92"/>
        <v>8351782.4059999986</v>
      </c>
      <c r="L79" s="30">
        <f t="shared" ref="L79" si="104">+((((D79/30)/8)*50)*12)*C79</f>
        <v>41758912.029999994</v>
      </c>
      <c r="M79" s="30">
        <f t="shared" si="82"/>
        <v>18813775.54080395</v>
      </c>
      <c r="N79" s="30">
        <f t="shared" si="86"/>
        <v>8500079.1891821697</v>
      </c>
      <c r="O79" s="30"/>
      <c r="P79" s="30">
        <f t="shared" si="11"/>
        <v>288495246.06045133</v>
      </c>
      <c r="Q79" s="30"/>
      <c r="R79" s="30"/>
      <c r="S79" s="30"/>
      <c r="T79" s="30"/>
      <c r="U79" s="30">
        <f t="shared" si="93"/>
        <v>0</v>
      </c>
      <c r="V79" s="30">
        <f t="shared" si="90"/>
        <v>288495246.06045133</v>
      </c>
      <c r="W79" s="30">
        <f t="shared" si="94"/>
        <v>12527673.608999997</v>
      </c>
      <c r="X79" s="30">
        <v>0</v>
      </c>
      <c r="Y79" s="30">
        <f t="shared" si="60"/>
        <v>1113570.9874666664</v>
      </c>
      <c r="Z79" s="30">
        <f t="shared" si="95"/>
        <v>13641244.596466664</v>
      </c>
      <c r="AA79" s="30"/>
      <c r="AB79" s="30"/>
      <c r="AC79" s="30"/>
      <c r="AD79" s="30"/>
      <c r="AE79" s="30">
        <f t="shared" si="96"/>
        <v>0</v>
      </c>
      <c r="AF79" s="30">
        <f t="shared" si="97"/>
        <v>13641244.596466664</v>
      </c>
      <c r="AG79" s="30">
        <f t="shared" si="28"/>
        <v>25163881.649279993</v>
      </c>
      <c r="AH79" s="30">
        <f t="shared" si="29"/>
        <v>17280160.986949164</v>
      </c>
      <c r="AI79" s="30">
        <f t="shared" si="30"/>
        <v>16941334.300930552</v>
      </c>
      <c r="AJ79" s="31">
        <f t="shared" si="16"/>
        <v>9271049.1086062808</v>
      </c>
      <c r="AK79" s="31">
        <f t="shared" si="17"/>
        <v>1343112.9611378238</v>
      </c>
      <c r="AL79" s="30">
        <f t="shared" si="18"/>
        <v>7022452.6565588638</v>
      </c>
      <c r="AM79" s="31">
        <f t="shared" si="19"/>
        <v>1310287.8750809387</v>
      </c>
      <c r="AN79" s="31">
        <f t="shared" si="20"/>
        <v>1310287.8750809387</v>
      </c>
      <c r="AO79" s="30">
        <f t="shared" si="21"/>
        <v>2411645.5153046884</v>
      </c>
      <c r="AP79" s="30">
        <v>0</v>
      </c>
      <c r="AQ79" s="32">
        <f t="shared" si="98"/>
        <v>82054212.928929269</v>
      </c>
      <c r="AR79" s="31">
        <f t="shared" si="22"/>
        <v>871151.04822935094</v>
      </c>
      <c r="AS79" s="31">
        <f t="shared" si="23"/>
        <v>821654.21919610735</v>
      </c>
      <c r="AT79" s="31">
        <f t="shared" si="99"/>
        <v>1692805.2674254584</v>
      </c>
      <c r="AU79" s="33">
        <f t="shared" si="100"/>
        <v>384190703.58584726</v>
      </c>
    </row>
    <row r="80" spans="1:47" ht="15" customHeight="1" x14ac:dyDescent="0.2">
      <c r="A80" s="41" t="s">
        <v>85</v>
      </c>
      <c r="B80" s="35">
        <v>10</v>
      </c>
      <c r="C80" s="35">
        <v>3</v>
      </c>
      <c r="D80" s="30">
        <f>+Vigencia_2021!D80*1.003</f>
        <v>1793090.0098881996</v>
      </c>
      <c r="E80" s="30">
        <f t="shared" si="88"/>
        <v>64551240.355975181</v>
      </c>
      <c r="F80" s="30">
        <v>0</v>
      </c>
      <c r="G80" s="30">
        <v>0</v>
      </c>
      <c r="H80" s="30">
        <f t="shared" si="101"/>
        <v>841476</v>
      </c>
      <c r="I80" s="30">
        <f t="shared" si="91"/>
        <v>1315776</v>
      </c>
      <c r="J80" s="30">
        <f t="shared" si="26"/>
        <v>2786057.8221600167</v>
      </c>
      <c r="K80" s="30">
        <f t="shared" si="92"/>
        <v>1882744.5103826094</v>
      </c>
      <c r="L80" s="30">
        <v>0</v>
      </c>
      <c r="M80" s="30">
        <f t="shared" si="82"/>
        <v>6001314.5268800268</v>
      </c>
      <c r="N80" s="30">
        <f t="shared" si="86"/>
        <v>2795731.6340425168</v>
      </c>
      <c r="O80" s="30"/>
      <c r="P80" s="30">
        <f t="shared" si="11"/>
        <v>80174340.849440351</v>
      </c>
      <c r="Q80" s="30"/>
      <c r="R80" s="30"/>
      <c r="S80" s="30"/>
      <c r="T80" s="30"/>
      <c r="U80" s="30">
        <f t="shared" si="93"/>
        <v>0</v>
      </c>
      <c r="V80" s="30">
        <f t="shared" si="90"/>
        <v>80174340.849440351</v>
      </c>
      <c r="W80" s="30">
        <f t="shared" si="94"/>
        <v>4034452.5222484488</v>
      </c>
      <c r="X80" s="30">
        <v>0</v>
      </c>
      <c r="Y80" s="30">
        <f t="shared" si="60"/>
        <v>358618.00197763991</v>
      </c>
      <c r="Z80" s="30">
        <f t="shared" si="95"/>
        <v>4393070.524226089</v>
      </c>
      <c r="AA80" s="30"/>
      <c r="AB80" s="30"/>
      <c r="AC80" s="30"/>
      <c r="AD80" s="30"/>
      <c r="AE80" s="30">
        <f t="shared" si="96"/>
        <v>0</v>
      </c>
      <c r="AF80" s="30">
        <f t="shared" si="97"/>
        <v>4393070.524226089</v>
      </c>
      <c r="AG80" s="30">
        <f t="shared" si="28"/>
        <v>8049080.202717022</v>
      </c>
      <c r="AH80" s="30">
        <f t="shared" si="29"/>
        <v>5683557.9572064346</v>
      </c>
      <c r="AI80" s="30">
        <f t="shared" si="30"/>
        <v>5572115.6443200335</v>
      </c>
      <c r="AJ80" s="31">
        <f t="shared" si="16"/>
        <v>2985678.636553457</v>
      </c>
      <c r="AK80" s="31">
        <f t="shared" si="17"/>
        <v>432540.44149379921</v>
      </c>
      <c r="AL80" s="30">
        <f t="shared" si="18"/>
        <v>2261533.363406789</v>
      </c>
      <c r="AM80" s="31">
        <f t="shared" si="19"/>
        <v>421969.34462709253</v>
      </c>
      <c r="AN80" s="31">
        <f t="shared" si="20"/>
        <v>421969.34462709253</v>
      </c>
      <c r="AO80" s="30">
        <f t="shared" si="21"/>
        <v>776654.12076191674</v>
      </c>
      <c r="AP80" s="30">
        <v>0</v>
      </c>
      <c r="AQ80" s="32">
        <f t="shared" si="98"/>
        <v>26605099.055713639</v>
      </c>
      <c r="AR80" s="31">
        <f t="shared" si="22"/>
        <v>280548.30078454083</v>
      </c>
      <c r="AS80" s="31">
        <f t="shared" si="23"/>
        <v>264608.18189502822</v>
      </c>
      <c r="AT80" s="31">
        <f t="shared" si="99"/>
        <v>545156.48267956905</v>
      </c>
      <c r="AU80" s="33">
        <f t="shared" si="100"/>
        <v>111172510.42938007</v>
      </c>
    </row>
    <row r="81" spans="1:47" ht="15" customHeight="1" x14ac:dyDescent="0.2">
      <c r="A81" s="41" t="s">
        <v>85</v>
      </c>
      <c r="B81" s="35">
        <v>11</v>
      </c>
      <c r="C81" s="35">
        <v>5</v>
      </c>
      <c r="D81" s="30">
        <f>+Vigencia_2021!D81*1.003</f>
        <v>1890322.6589589997</v>
      </c>
      <c r="E81" s="30">
        <f t="shared" si="88"/>
        <v>113419359.53753999</v>
      </c>
      <c r="F81" s="30">
        <v>0</v>
      </c>
      <c r="G81" s="30">
        <v>0</v>
      </c>
      <c r="H81" s="30">
        <f t="shared" si="101"/>
        <v>841476</v>
      </c>
      <c r="I81" s="30">
        <f t="shared" si="91"/>
        <v>0</v>
      </c>
      <c r="J81" s="30">
        <f t="shared" si="26"/>
        <v>4772354.4829988135</v>
      </c>
      <c r="K81" s="30">
        <f t="shared" si="92"/>
        <v>3308064.653178249</v>
      </c>
      <c r="L81" s="30">
        <v>0</v>
      </c>
      <c r="M81" s="30">
        <f t="shared" si="82"/>
        <v>10524058.652667003</v>
      </c>
      <c r="N81" s="30">
        <f t="shared" si="86"/>
        <v>4788925.1582870036</v>
      </c>
      <c r="O81" s="30"/>
      <c r="P81" s="30">
        <f t="shared" ref="P81:P107" si="105">SUM(E81:O81)</f>
        <v>137654238.48467106</v>
      </c>
      <c r="Q81" s="30"/>
      <c r="R81" s="30"/>
      <c r="S81" s="30"/>
      <c r="T81" s="30"/>
      <c r="U81" s="30">
        <f t="shared" si="93"/>
        <v>0</v>
      </c>
      <c r="V81" s="30">
        <f t="shared" si="90"/>
        <v>137654238.48467106</v>
      </c>
      <c r="W81" s="30">
        <f t="shared" si="94"/>
        <v>7088709.9710962493</v>
      </c>
      <c r="X81" s="30">
        <v>0</v>
      </c>
      <c r="Y81" s="30">
        <f t="shared" si="60"/>
        <v>630107.55298633326</v>
      </c>
      <c r="Z81" s="30">
        <f t="shared" si="95"/>
        <v>7718817.5240825824</v>
      </c>
      <c r="AA81" s="30"/>
      <c r="AB81" s="30"/>
      <c r="AC81" s="30"/>
      <c r="AD81" s="30"/>
      <c r="AE81" s="30">
        <f t="shared" si="96"/>
        <v>0</v>
      </c>
      <c r="AF81" s="30">
        <f t="shared" si="97"/>
        <v>7718817.5240825824</v>
      </c>
      <c r="AG81" s="30">
        <f t="shared" si="28"/>
        <v>14115208.744504796</v>
      </c>
      <c r="AH81" s="30">
        <f t="shared" si="29"/>
        <v>9735603.1453175787</v>
      </c>
      <c r="AI81" s="30">
        <f t="shared" si="30"/>
        <v>9544708.965997627</v>
      </c>
      <c r="AJ81" s="31">
        <f t="shared" ref="AJ81:AJ107" si="106">+((D81*0.0462528468870403)*C81)*12</f>
        <v>5245968.2707160115</v>
      </c>
      <c r="AK81" s="31">
        <f t="shared" ref="AK81:AK107" si="107">+((D81*0.00670073013482786)*C81)*12</f>
        <v>759992.52032606979</v>
      </c>
      <c r="AL81" s="30">
        <f t="shared" ref="AL81:AL107" si="108">+(((D81*0.0350347003548701)*C81)*12)</f>
        <v>3973613.2758389916</v>
      </c>
      <c r="AM81" s="31">
        <f t="shared" ref="AM81:AM107" si="109">+(((D81*0.00653696725733068)*C81)*12)</f>
        <v>741418.639644315</v>
      </c>
      <c r="AN81" s="31">
        <f t="shared" ref="AN81:AN107" si="110">+(((D81*0.00653696725733068)*C81)*12)</f>
        <v>741418.639644315</v>
      </c>
      <c r="AO81" s="30">
        <f t="shared" ref="AO81:AO107" si="111">+(((D81*0.0120315909729847)*C81)*12)</f>
        <v>1364615.3423735721</v>
      </c>
      <c r="AP81" s="30">
        <v>0</v>
      </c>
      <c r="AQ81" s="32">
        <f t="shared" si="98"/>
        <v>46222547.544363283</v>
      </c>
      <c r="AR81" s="31">
        <f t="shared" ref="AR81:AR107" si="112">+(((D81*0.00434613338546905)*C81)*12)</f>
        <v>492935.66504462005</v>
      </c>
      <c r="AS81" s="31">
        <f t="shared" ref="AS81:AS107" si="113">+((D81*0.00409919593234485)*C81)*12</f>
        <v>464928.17726544186</v>
      </c>
      <c r="AT81" s="31">
        <f t="shared" si="99"/>
        <v>957863.84231006191</v>
      </c>
      <c r="AU81" s="33">
        <f t="shared" si="100"/>
        <v>191595603.55311692</v>
      </c>
    </row>
    <row r="82" spans="1:47" ht="15" customHeight="1" x14ac:dyDescent="0.2">
      <c r="A82" s="41" t="s">
        <v>85</v>
      </c>
      <c r="B82" s="35">
        <v>12</v>
      </c>
      <c r="C82" s="35">
        <v>8</v>
      </c>
      <c r="D82" s="30">
        <f>+Vigencia_2021!D82*1.003</f>
        <v>2004518.2247703997</v>
      </c>
      <c r="E82" s="30">
        <f t="shared" si="88"/>
        <v>192433749.57795838</v>
      </c>
      <c r="F82" s="30">
        <v>0</v>
      </c>
      <c r="G82" s="30">
        <v>0</v>
      </c>
      <c r="H82" s="30">
        <f t="shared" si="101"/>
        <v>0</v>
      </c>
      <c r="I82" s="30">
        <f t="shared" si="91"/>
        <v>0</v>
      </c>
      <c r="J82" s="30">
        <f t="shared" si="26"/>
        <v>8037561.2707113111</v>
      </c>
      <c r="K82" s="30">
        <f t="shared" si="92"/>
        <v>5612651.0293571185</v>
      </c>
      <c r="L82" s="30">
        <v>0</v>
      </c>
      <c r="M82" s="30">
        <f t="shared" si="82"/>
        <v>17845785.945632897</v>
      </c>
      <c r="N82" s="30">
        <f t="shared" si="86"/>
        <v>8065469.469567948</v>
      </c>
      <c r="O82" s="30"/>
      <c r="P82" s="30">
        <f t="shared" si="105"/>
        <v>231995217.29322764</v>
      </c>
      <c r="Q82" s="30"/>
      <c r="R82" s="30"/>
      <c r="S82" s="30"/>
      <c r="T82" s="30"/>
      <c r="U82" s="30">
        <f t="shared" si="93"/>
        <v>0</v>
      </c>
      <c r="V82" s="30">
        <f t="shared" si="90"/>
        <v>231995217.29322764</v>
      </c>
      <c r="W82" s="30">
        <f t="shared" si="94"/>
        <v>12027109.348622398</v>
      </c>
      <c r="X82" s="30">
        <v>0</v>
      </c>
      <c r="Y82" s="30">
        <f t="shared" si="60"/>
        <v>1069076.3865442132</v>
      </c>
      <c r="Z82" s="30">
        <f t="shared" si="95"/>
        <v>13096185.735166611</v>
      </c>
      <c r="AA82" s="30"/>
      <c r="AB82" s="30"/>
      <c r="AC82" s="30"/>
      <c r="AD82" s="30"/>
      <c r="AE82" s="30">
        <f t="shared" si="96"/>
        <v>0</v>
      </c>
      <c r="AF82" s="30">
        <f t="shared" si="97"/>
        <v>13096185.735166611</v>
      </c>
      <c r="AG82" s="30">
        <f t="shared" si="28"/>
        <v>23092049.949355006</v>
      </c>
      <c r="AH82" s="30">
        <f t="shared" si="29"/>
        <v>16396624.992251076</v>
      </c>
      <c r="AI82" s="30">
        <f t="shared" si="30"/>
        <v>16075122.541422622</v>
      </c>
      <c r="AJ82" s="31">
        <f t="shared" si="106"/>
        <v>8900608.755128365</v>
      </c>
      <c r="AK82" s="31">
        <f t="shared" si="107"/>
        <v>1289446.6247549437</v>
      </c>
      <c r="AL82" s="30">
        <f t="shared" si="108"/>
        <v>6741858.7546278816</v>
      </c>
      <c r="AM82" s="31">
        <f t="shared" si="109"/>
        <v>1257933.1201964854</v>
      </c>
      <c r="AN82" s="31">
        <f t="shared" si="110"/>
        <v>1257933.1201964854</v>
      </c>
      <c r="AO82" s="30">
        <f t="shared" si="111"/>
        <v>2315284.1643197625</v>
      </c>
      <c r="AP82" s="30">
        <v>0</v>
      </c>
      <c r="AQ82" s="32">
        <f t="shared" si="98"/>
        <v>77326862.022252634</v>
      </c>
      <c r="AR82" s="31">
        <f t="shared" si="112"/>
        <v>836342.74353175564</v>
      </c>
      <c r="AS82" s="31">
        <f t="shared" si="113"/>
        <v>788823.64351583447</v>
      </c>
      <c r="AT82" s="31">
        <f t="shared" si="99"/>
        <v>1625166.3870475902</v>
      </c>
      <c r="AU82" s="33">
        <f t="shared" si="100"/>
        <v>322418265.0506469</v>
      </c>
    </row>
    <row r="83" spans="1:47" ht="15" customHeight="1" thickBot="1" x14ac:dyDescent="0.25">
      <c r="A83" s="41" t="s">
        <v>85</v>
      </c>
      <c r="B83" s="35">
        <v>18</v>
      </c>
      <c r="C83" s="35">
        <v>1</v>
      </c>
      <c r="D83" s="30">
        <f>+Vigencia_2021!D83*1.003</f>
        <v>3078024.2633297001</v>
      </c>
      <c r="E83" s="30">
        <f t="shared" si="88"/>
        <v>36936291.159956403</v>
      </c>
      <c r="F83" s="30">
        <v>0</v>
      </c>
      <c r="G83" s="30">
        <v>0</v>
      </c>
      <c r="H83" s="30">
        <f t="shared" si="101"/>
        <v>0</v>
      </c>
      <c r="I83" s="30">
        <f t="shared" si="91"/>
        <v>0</v>
      </c>
      <c r="J83" s="30">
        <f t="shared" ref="J83:J107" si="114">+(E83+H83+I83+(K83/12))/24</f>
        <v>1542752.7861515356</v>
      </c>
      <c r="K83" s="30">
        <f t="shared" si="92"/>
        <v>1077308.4921653951</v>
      </c>
      <c r="L83" s="30">
        <v>0</v>
      </c>
      <c r="M83" s="30">
        <f t="shared" si="82"/>
        <v>3425371.833744362</v>
      </c>
      <c r="N83" s="30">
        <f t="shared" si="86"/>
        <v>1548109.5666590061</v>
      </c>
      <c r="O83" s="30"/>
      <c r="P83" s="30">
        <f t="shared" si="105"/>
        <v>44529833.838676699</v>
      </c>
      <c r="Q83" s="30"/>
      <c r="R83" s="30"/>
      <c r="S83" s="30"/>
      <c r="T83" s="30"/>
      <c r="U83" s="30">
        <f t="shared" si="93"/>
        <v>0</v>
      </c>
      <c r="V83" s="30">
        <f t="shared" si="90"/>
        <v>44529833.838676699</v>
      </c>
      <c r="W83" s="30">
        <f t="shared" si="94"/>
        <v>2308518.1974972752</v>
      </c>
      <c r="X83" s="30">
        <v>0</v>
      </c>
      <c r="Y83" s="30">
        <f t="shared" si="60"/>
        <v>205201.61755531334</v>
      </c>
      <c r="Z83" s="30">
        <f t="shared" si="95"/>
        <v>2513719.8150525885</v>
      </c>
      <c r="AA83" s="30"/>
      <c r="AB83" s="30"/>
      <c r="AC83" s="30"/>
      <c r="AD83" s="30"/>
      <c r="AE83" s="30">
        <f t="shared" si="96"/>
        <v>0</v>
      </c>
      <c r="AF83" s="30">
        <f t="shared" si="97"/>
        <v>2513719.8150525885</v>
      </c>
      <c r="AG83" s="30">
        <f t="shared" ref="AG83:AG107" si="115">+(((D83+H83/12)*12%)*12)*C83</f>
        <v>4432354.9391947687</v>
      </c>
      <c r="AH83" s="30">
        <f t="shared" ref="AH83:AH107" si="116">+(E83+H83+I83+K83/12)*0.085</f>
        <v>3147215.6837491328</v>
      </c>
      <c r="AI83" s="30">
        <f t="shared" ref="AI83" si="117">(E83+H83+I83+K83/12)/12</f>
        <v>3085505.5723030712</v>
      </c>
      <c r="AJ83" s="31">
        <f t="shared" si="106"/>
        <v>1708408.6195966036</v>
      </c>
      <c r="AK83" s="31">
        <f t="shared" si="107"/>
        <v>247500.11924429575</v>
      </c>
      <c r="AL83" s="30">
        <f t="shared" si="108"/>
        <v>1294051.8930093099</v>
      </c>
      <c r="AM83" s="31">
        <f t="shared" si="109"/>
        <v>241451.32591986761</v>
      </c>
      <c r="AN83" s="31">
        <f t="shared" si="110"/>
        <v>241451.32591986761</v>
      </c>
      <c r="AO83" s="30">
        <f t="shared" si="111"/>
        <v>444402.347295666</v>
      </c>
      <c r="AP83" s="30">
        <v>0</v>
      </c>
      <c r="AQ83" s="32">
        <f t="shared" si="98"/>
        <v>14842341.826232586</v>
      </c>
      <c r="AR83" s="31">
        <f t="shared" si="112"/>
        <v>160530.04814569186</v>
      </c>
      <c r="AS83" s="31">
        <f t="shared" si="113"/>
        <v>151409.0944787983</v>
      </c>
      <c r="AT83" s="31">
        <f t="shared" si="99"/>
        <v>311939.1426244902</v>
      </c>
      <c r="AU83" s="33">
        <f t="shared" si="100"/>
        <v>61885895.479961872</v>
      </c>
    </row>
    <row r="84" spans="1:47" ht="15" customHeight="1" thickTop="1" thickBot="1" x14ac:dyDescent="0.25">
      <c r="A84" s="27" t="s">
        <v>86</v>
      </c>
      <c r="B84" s="39"/>
      <c r="C84" s="64">
        <f t="shared" ref="C84:AU84" si="118">SUM(C85:C107)</f>
        <v>131</v>
      </c>
      <c r="D84" s="61">
        <f t="shared" si="118"/>
        <v>39168689.094494008</v>
      </c>
      <c r="E84" s="61">
        <f t="shared" si="118"/>
        <v>2342603390.3644443</v>
      </c>
      <c r="F84" s="61">
        <f t="shared" si="118"/>
        <v>0</v>
      </c>
      <c r="G84" s="61">
        <f t="shared" si="118"/>
        <v>0</v>
      </c>
      <c r="H84" s="61">
        <f t="shared" si="118"/>
        <v>15988044</v>
      </c>
      <c r="I84" s="61">
        <f t="shared" si="118"/>
        <v>22368192</v>
      </c>
      <c r="J84" s="61">
        <f t="shared" si="118"/>
        <v>99502232.668053105</v>
      </c>
      <c r="K84" s="61">
        <f t="shared" si="118"/>
        <v>85127492.02596949</v>
      </c>
      <c r="L84" s="61">
        <f t="shared" si="118"/>
        <v>401333271.48365259</v>
      </c>
      <c r="M84" s="61">
        <f t="shared" si="118"/>
        <v>213516939.16640687</v>
      </c>
      <c r="N84" s="61">
        <f t="shared" si="118"/>
        <v>34970154.93841555</v>
      </c>
      <c r="O84" s="61">
        <f t="shared" si="118"/>
        <v>0</v>
      </c>
      <c r="P84" s="61">
        <f t="shared" si="118"/>
        <v>3215409716.6469417</v>
      </c>
      <c r="Q84" s="61">
        <f t="shared" si="118"/>
        <v>0</v>
      </c>
      <c r="R84" s="61">
        <f t="shared" si="118"/>
        <v>0</v>
      </c>
      <c r="S84" s="61">
        <f t="shared" si="118"/>
        <v>0</v>
      </c>
      <c r="T84" s="61">
        <f t="shared" si="118"/>
        <v>0</v>
      </c>
      <c r="U84" s="61">
        <f t="shared" si="118"/>
        <v>0</v>
      </c>
      <c r="V84" s="61">
        <f>SUM(V85:V107)</f>
        <v>3215409716.6469417</v>
      </c>
      <c r="W84" s="61">
        <f t="shared" si="118"/>
        <v>149666327.71772838</v>
      </c>
      <c r="X84" s="61">
        <f t="shared" si="118"/>
        <v>20000000</v>
      </c>
      <c r="Y84" s="61">
        <f t="shared" si="118"/>
        <v>13014463.279802468</v>
      </c>
      <c r="Z84" s="61">
        <f t="shared" si="118"/>
        <v>182680790.99753082</v>
      </c>
      <c r="AA84" s="61">
        <f t="shared" si="118"/>
        <v>0</v>
      </c>
      <c r="AB84" s="61">
        <f t="shared" si="118"/>
        <v>0</v>
      </c>
      <c r="AC84" s="61">
        <f t="shared" si="118"/>
        <v>0</v>
      </c>
      <c r="AD84" s="61">
        <f t="shared" si="118"/>
        <v>0</v>
      </c>
      <c r="AE84" s="61">
        <f t="shared" si="118"/>
        <v>0</v>
      </c>
      <c r="AF84" s="61">
        <f t="shared" si="118"/>
        <v>182680790.99753082</v>
      </c>
      <c r="AG84" s="61">
        <f t="shared" si="118"/>
        <v>292522821.40373325</v>
      </c>
      <c r="AH84" s="61">
        <f t="shared" si="118"/>
        <v>202984554.64282838</v>
      </c>
      <c r="AI84" s="61">
        <f t="shared" si="118"/>
        <v>195216949.19703698</v>
      </c>
      <c r="AJ84" s="61">
        <f t="shared" si="118"/>
        <v>108352075.93158811</v>
      </c>
      <c r="AK84" s="61">
        <f t="shared" si="118"/>
        <v>15697153.131764945</v>
      </c>
      <c r="AL84" s="61">
        <f t="shared" si="118"/>
        <v>82072407.831721097</v>
      </c>
      <c r="AM84" s="61">
        <f t="shared" si="118"/>
        <v>15313521.659724213</v>
      </c>
      <c r="AN84" s="61">
        <f t="shared" si="118"/>
        <v>15313521.659724213</v>
      </c>
      <c r="AO84" s="61">
        <f t="shared" si="118"/>
        <v>28185245.804792199</v>
      </c>
      <c r="AP84" s="61">
        <f t="shared" si="118"/>
        <v>0</v>
      </c>
      <c r="AQ84" s="62">
        <f t="shared" si="118"/>
        <v>955658251.26291335</v>
      </c>
      <c r="AR84" s="61">
        <f t="shared" si="118"/>
        <v>10181266.803775892</v>
      </c>
      <c r="AS84" s="61">
        <f t="shared" si="118"/>
        <v>9602790.2888791803</v>
      </c>
      <c r="AT84" s="63">
        <f t="shared" si="118"/>
        <v>19784057.092655078</v>
      </c>
      <c r="AU84" s="62">
        <f t="shared" si="118"/>
        <v>4353748758.9073858</v>
      </c>
    </row>
    <row r="85" spans="1:47" ht="15" customHeight="1" thickTop="1" x14ac:dyDescent="0.2">
      <c r="A85" s="41" t="s">
        <v>87</v>
      </c>
      <c r="B85" s="78" t="s">
        <v>110</v>
      </c>
      <c r="C85" s="35">
        <v>21</v>
      </c>
      <c r="D85" s="30">
        <f>+Vigencia_2021!D85*1.03</f>
        <v>1078700.2357689999</v>
      </c>
      <c r="E85" s="30">
        <f t="shared" ref="E85:E107" si="119">D85*C85*12</f>
        <v>271832459.41378796</v>
      </c>
      <c r="F85" s="30">
        <v>0</v>
      </c>
      <c r="G85" s="30">
        <v>0</v>
      </c>
      <c r="H85" s="30">
        <f t="shared" si="101"/>
        <v>841476</v>
      </c>
      <c r="I85" s="30">
        <f t="shared" si="91"/>
        <v>1315776</v>
      </c>
      <c r="J85" s="30">
        <f t="shared" si="114"/>
        <v>11455565.588336909</v>
      </c>
      <c r="K85" s="30">
        <f t="shared" si="92"/>
        <v>11326352.475574499</v>
      </c>
      <c r="L85" s="30">
        <f t="shared" ref="L85:L104" si="120">+((((D85/30)/8)*50)*12)*C85</f>
        <v>56631762.377872497</v>
      </c>
      <c r="M85" s="30">
        <f t="shared" si="82"/>
        <v>24754351.730631378</v>
      </c>
      <c r="N85" s="30">
        <f t="shared" ref="N85:N107" si="121">+((D85+(F85/12)+(G85/12))/2+J85/12+K85/12)</f>
        <v>2437843.2898771171</v>
      </c>
      <c r="O85" s="30"/>
      <c r="P85" s="30">
        <f t="shared" si="105"/>
        <v>380595586.87608033</v>
      </c>
      <c r="Q85" s="30"/>
      <c r="R85" s="30"/>
      <c r="S85" s="30"/>
      <c r="T85" s="30"/>
      <c r="U85" s="30">
        <f t="shared" ref="U85:U107" si="122">SUM(Q85:T85)</f>
        <v>0</v>
      </c>
      <c r="V85" s="30">
        <f t="shared" ref="V85:V107" si="123">P85+U85</f>
        <v>380595586.87608033</v>
      </c>
      <c r="W85" s="30">
        <f t="shared" ref="W85:W107" si="124">+(E85/360)*23</f>
        <v>17367073.795880895</v>
      </c>
      <c r="X85" s="30">
        <v>20000000</v>
      </c>
      <c r="Y85" s="30">
        <f t="shared" si="60"/>
        <v>1510180.3300766</v>
      </c>
      <c r="Z85" s="30">
        <f t="shared" ref="Z85" si="125">SUM(W85:Y85)</f>
        <v>38877254.125957496</v>
      </c>
      <c r="AA85" s="30"/>
      <c r="AB85" s="30"/>
      <c r="AC85" s="30"/>
      <c r="AD85" s="30"/>
      <c r="AE85" s="30">
        <f t="shared" ref="AE85:AE107" si="126">SUM(AA85:AD85)</f>
        <v>0</v>
      </c>
      <c r="AF85" s="30">
        <f t="shared" ref="AF85:AF107" si="127">Z85+AE85</f>
        <v>38877254.125957496</v>
      </c>
      <c r="AG85" s="30">
        <f t="shared" si="115"/>
        <v>34740414.64965456</v>
      </c>
      <c r="AH85" s="30">
        <f t="shared" si="116"/>
        <v>23369353.800207298</v>
      </c>
      <c r="AI85" s="30">
        <f t="shared" ref="AI85:AI107" si="128">+E85/12</f>
        <v>22652704.951148998</v>
      </c>
      <c r="AJ85" s="31">
        <f t="shared" si="106"/>
        <v>12573025.124193532</v>
      </c>
      <c r="AK85" s="31">
        <f t="shared" si="107"/>
        <v>1821475.9524183404</v>
      </c>
      <c r="AL85" s="30">
        <f t="shared" si="108"/>
        <v>9523568.7622894496</v>
      </c>
      <c r="AM85" s="31">
        <f t="shared" si="109"/>
        <v>1776959.8866676027</v>
      </c>
      <c r="AN85" s="31">
        <f t="shared" si="110"/>
        <v>1776959.8866676027</v>
      </c>
      <c r="AO85" s="30">
        <f t="shared" si="111"/>
        <v>3270576.9648471614</v>
      </c>
      <c r="AP85" s="30">
        <v>0</v>
      </c>
      <c r="AQ85" s="32">
        <f t="shared" ref="AQ85:AQ107" si="129">SUM(AG85:AP85)</f>
        <v>111505039.97809456</v>
      </c>
      <c r="AR85" s="31">
        <f t="shared" si="112"/>
        <v>1181420.1271124245</v>
      </c>
      <c r="AS85" s="31">
        <f t="shared" si="113"/>
        <v>1114294.511908296</v>
      </c>
      <c r="AT85" s="31">
        <f t="shared" ref="AT85:AT107" si="130">SUM(AR85:AS85)</f>
        <v>2295714.6390207205</v>
      </c>
      <c r="AU85" s="33">
        <f t="shared" ref="AU85:AU107" si="131">V85+AF85+AQ85</f>
        <v>530977880.9801324</v>
      </c>
    </row>
    <row r="86" spans="1:47" ht="15" customHeight="1" x14ac:dyDescent="0.2">
      <c r="A86" s="41" t="s">
        <v>87</v>
      </c>
      <c r="B86" s="78" t="s">
        <v>112</v>
      </c>
      <c r="C86" s="35">
        <v>1</v>
      </c>
      <c r="D86" s="30">
        <f>+Vigencia_2021!D86*1.03</f>
        <v>1215876.8900000001</v>
      </c>
      <c r="E86" s="30">
        <f t="shared" si="119"/>
        <v>14590522.680000002</v>
      </c>
      <c r="F86" s="30">
        <v>0</v>
      </c>
      <c r="G86" s="30">
        <v>0</v>
      </c>
      <c r="H86" s="30">
        <f t="shared" si="101"/>
        <v>841476</v>
      </c>
      <c r="I86" s="30">
        <f t="shared" si="91"/>
        <v>1315776</v>
      </c>
      <c r="J86" s="30">
        <f t="shared" si="114"/>
        <v>699934.84237847233</v>
      </c>
      <c r="K86" s="30">
        <f t="shared" si="92"/>
        <v>607938.44500000007</v>
      </c>
      <c r="L86" s="30">
        <f t="shared" si="120"/>
        <v>3039692.2250000006</v>
      </c>
      <c r="M86" s="30">
        <f t="shared" si="82"/>
        <v>1384610.3210827787</v>
      </c>
      <c r="N86" s="30">
        <f t="shared" si="121"/>
        <v>716927.88561487279</v>
      </c>
      <c r="O86" s="30"/>
      <c r="P86" s="30">
        <f t="shared" si="105"/>
        <v>23196878.399076127</v>
      </c>
      <c r="Q86" s="30"/>
      <c r="R86" s="30"/>
      <c r="S86" s="30"/>
      <c r="T86" s="30"/>
      <c r="U86" s="30">
        <f t="shared" si="122"/>
        <v>0</v>
      </c>
      <c r="V86" s="30">
        <f t="shared" si="123"/>
        <v>23196878.399076127</v>
      </c>
      <c r="W86" s="30">
        <f t="shared" si="124"/>
        <v>932172.28233333351</v>
      </c>
      <c r="X86" s="30">
        <v>0</v>
      </c>
      <c r="Y86" s="30">
        <f t="shared" si="60"/>
        <v>81058.459333333347</v>
      </c>
      <c r="Z86" s="30">
        <f t="shared" ref="Z86:Z107" si="132">SUM(W86:Y86)</f>
        <v>1013230.7416666668</v>
      </c>
      <c r="AA86" s="30"/>
      <c r="AB86" s="30"/>
      <c r="AC86" s="30"/>
      <c r="AD86" s="30"/>
      <c r="AE86" s="30">
        <f t="shared" si="126"/>
        <v>0</v>
      </c>
      <c r="AF86" s="30">
        <f t="shared" si="127"/>
        <v>1013230.7416666668</v>
      </c>
      <c r="AG86" s="30">
        <f t="shared" si="115"/>
        <v>1851839.8416000002</v>
      </c>
      <c r="AH86" s="30">
        <f t="shared" si="116"/>
        <v>1427867.0784520835</v>
      </c>
      <c r="AI86" s="30">
        <f t="shared" si="128"/>
        <v>1215876.8900000001</v>
      </c>
      <c r="AJ86" s="31">
        <f t="shared" si="106"/>
        <v>674853.211519929</v>
      </c>
      <c r="AK86" s="31">
        <f t="shared" si="107"/>
        <v>97767.155004765358</v>
      </c>
      <c r="AL86" s="30">
        <f t="shared" si="108"/>
        <v>511174.59011473629</v>
      </c>
      <c r="AM86" s="31">
        <f t="shared" si="109"/>
        <v>95377.769026500682</v>
      </c>
      <c r="AN86" s="31">
        <f t="shared" si="110"/>
        <v>95377.769026500682</v>
      </c>
      <c r="AO86" s="30">
        <f t="shared" si="111"/>
        <v>175547.20096781655</v>
      </c>
      <c r="AP86" s="30">
        <v>0</v>
      </c>
      <c r="AQ86" s="32">
        <f t="shared" si="129"/>
        <v>6145681.5057123322</v>
      </c>
      <c r="AR86" s="31">
        <f t="shared" si="112"/>
        <v>63412.357730991367</v>
      </c>
      <c r="AS86" s="31">
        <f t="shared" si="113"/>
        <v>59809.411220641283</v>
      </c>
      <c r="AT86" s="31">
        <f t="shared" si="130"/>
        <v>123221.76895163265</v>
      </c>
      <c r="AU86" s="33">
        <f t="shared" si="131"/>
        <v>30355790.646455124</v>
      </c>
    </row>
    <row r="87" spans="1:47" ht="15" customHeight="1" x14ac:dyDescent="0.2">
      <c r="A87" s="41" t="s">
        <v>87</v>
      </c>
      <c r="B87" s="35">
        <v>10</v>
      </c>
      <c r="C87" s="35">
        <v>1</v>
      </c>
      <c r="D87" s="30">
        <f>+Vigencia_2021!D87*1.03</f>
        <v>1336388.95</v>
      </c>
      <c r="E87" s="30">
        <f t="shared" si="119"/>
        <v>16036667.399999999</v>
      </c>
      <c r="F87" s="30">
        <v>0</v>
      </c>
      <c r="G87" s="30">
        <v>0</v>
      </c>
      <c r="H87" s="30">
        <f t="shared" si="101"/>
        <v>841476</v>
      </c>
      <c r="I87" s="30">
        <f t="shared" si="91"/>
        <v>1315776</v>
      </c>
      <c r="J87" s="30">
        <f t="shared" si="114"/>
        <v>760400.09470486094</v>
      </c>
      <c r="K87" s="30">
        <f t="shared" si="92"/>
        <v>668194.47499999998</v>
      </c>
      <c r="L87" s="30">
        <f t="shared" si="120"/>
        <v>3340972.375</v>
      </c>
      <c r="M87" s="30">
        <f t="shared" si="82"/>
        <v>1521042.166015022</v>
      </c>
      <c r="N87" s="30">
        <f t="shared" si="121"/>
        <v>787244.02247540501</v>
      </c>
      <c r="O87" s="30"/>
      <c r="P87" s="30">
        <f t="shared" si="105"/>
        <v>25271772.533195291</v>
      </c>
      <c r="Q87" s="30"/>
      <c r="R87" s="30"/>
      <c r="S87" s="30"/>
      <c r="T87" s="30"/>
      <c r="U87" s="30">
        <f t="shared" si="122"/>
        <v>0</v>
      </c>
      <c r="V87" s="30">
        <f t="shared" si="123"/>
        <v>25271772.533195291</v>
      </c>
      <c r="W87" s="30">
        <f t="shared" si="124"/>
        <v>1024564.8616666667</v>
      </c>
      <c r="X87" s="30">
        <v>0</v>
      </c>
      <c r="Y87" s="30">
        <f t="shared" si="60"/>
        <v>89092.596666666665</v>
      </c>
      <c r="Z87" s="30">
        <f t="shared" si="132"/>
        <v>1113657.4583333333</v>
      </c>
      <c r="AA87" s="30"/>
      <c r="AB87" s="30"/>
      <c r="AC87" s="30"/>
      <c r="AD87" s="30"/>
      <c r="AE87" s="30">
        <f t="shared" si="126"/>
        <v>0</v>
      </c>
      <c r="AF87" s="30">
        <f t="shared" si="127"/>
        <v>1113657.4583333333</v>
      </c>
      <c r="AG87" s="30">
        <f t="shared" si="115"/>
        <v>2025377.2079999996</v>
      </c>
      <c r="AH87" s="30">
        <f t="shared" si="116"/>
        <v>1551216.1931979165</v>
      </c>
      <c r="AI87" s="30">
        <f t="shared" si="128"/>
        <v>1336388.95</v>
      </c>
      <c r="AJ87" s="31">
        <f t="shared" si="106"/>
        <v>741741.52183059067</v>
      </c>
      <c r="AK87" s="31">
        <f t="shared" si="107"/>
        <v>107457.38050939154</v>
      </c>
      <c r="AL87" s="30">
        <f t="shared" si="108"/>
        <v>561839.83704971382</v>
      </c>
      <c r="AM87" s="31">
        <f t="shared" si="109"/>
        <v>104831.16971050232</v>
      </c>
      <c r="AN87" s="31">
        <f t="shared" si="110"/>
        <v>104831.16971050232</v>
      </c>
      <c r="AO87" s="30">
        <f t="shared" si="111"/>
        <v>192946.622726598</v>
      </c>
      <c r="AP87" s="30">
        <v>0</v>
      </c>
      <c r="AQ87" s="32">
        <f t="shared" si="129"/>
        <v>6726630.0527352141</v>
      </c>
      <c r="AR87" s="31">
        <f t="shared" si="112"/>
        <v>69697.495578803151</v>
      </c>
      <c r="AS87" s="31">
        <f t="shared" si="113"/>
        <v>65737.441774447245</v>
      </c>
      <c r="AT87" s="31">
        <f t="shared" si="130"/>
        <v>135434.9373532504</v>
      </c>
      <c r="AU87" s="33">
        <f t="shared" si="131"/>
        <v>33112060.044263836</v>
      </c>
    </row>
    <row r="88" spans="1:47" ht="15" customHeight="1" x14ac:dyDescent="0.2">
      <c r="A88" s="41" t="s">
        <v>87</v>
      </c>
      <c r="B88" s="35">
        <v>12</v>
      </c>
      <c r="C88" s="35">
        <v>2</v>
      </c>
      <c r="D88" s="30">
        <f>+Vigencia_2021!D88*1.03</f>
        <v>1548839.8419570001</v>
      </c>
      <c r="E88" s="30">
        <f t="shared" si="119"/>
        <v>37172156.206968002</v>
      </c>
      <c r="F88" s="30">
        <v>0</v>
      </c>
      <c r="G88" s="30">
        <v>0</v>
      </c>
      <c r="H88" s="30">
        <f t="shared" si="101"/>
        <v>841476</v>
      </c>
      <c r="I88" s="30">
        <f t="shared" si="91"/>
        <v>1315776</v>
      </c>
      <c r="J88" s="30">
        <f t="shared" si="114"/>
        <v>1644103.2580749064</v>
      </c>
      <c r="K88" s="30">
        <f t="shared" si="92"/>
        <v>1548839.8419570001</v>
      </c>
      <c r="L88" s="30">
        <f t="shared" si="120"/>
        <v>7744199.2097850004</v>
      </c>
      <c r="M88" s="30">
        <f t="shared" si="82"/>
        <v>3450466.4849706446</v>
      </c>
      <c r="N88" s="30">
        <f t="shared" si="121"/>
        <v>1040498.5126478255</v>
      </c>
      <c r="O88" s="30"/>
      <c r="P88" s="30">
        <f t="shared" si="105"/>
        <v>54757515.51440338</v>
      </c>
      <c r="Q88" s="30"/>
      <c r="R88" s="30"/>
      <c r="S88" s="30"/>
      <c r="T88" s="30"/>
      <c r="U88" s="30">
        <f t="shared" si="122"/>
        <v>0</v>
      </c>
      <c r="V88" s="30">
        <f t="shared" si="123"/>
        <v>54757515.51440338</v>
      </c>
      <c r="W88" s="30">
        <f t="shared" si="124"/>
        <v>2374887.7576674004</v>
      </c>
      <c r="X88" s="30">
        <v>0</v>
      </c>
      <c r="Y88" s="30">
        <f t="shared" si="60"/>
        <v>206511.97892760002</v>
      </c>
      <c r="Z88" s="30">
        <f t="shared" si="132"/>
        <v>2581399.7365950006</v>
      </c>
      <c r="AA88" s="30"/>
      <c r="AB88" s="30"/>
      <c r="AC88" s="30"/>
      <c r="AD88" s="30"/>
      <c r="AE88" s="30">
        <f t="shared" si="126"/>
        <v>0</v>
      </c>
      <c r="AF88" s="30">
        <f t="shared" si="127"/>
        <v>2581399.7365950006</v>
      </c>
      <c r="AG88" s="30">
        <f t="shared" si="115"/>
        <v>4662612.9848361593</v>
      </c>
      <c r="AH88" s="30">
        <f t="shared" si="116"/>
        <v>3353970.6464728094</v>
      </c>
      <c r="AI88" s="30">
        <f t="shared" si="128"/>
        <v>3097679.6839140002</v>
      </c>
      <c r="AJ88" s="31">
        <f t="shared" si="106"/>
        <v>1719318.0495020358</v>
      </c>
      <c r="AK88" s="31">
        <f t="shared" si="107"/>
        <v>249080.587272559</v>
      </c>
      <c r="AL88" s="30">
        <f t="shared" si="108"/>
        <v>1302315.3542555487</v>
      </c>
      <c r="AM88" s="31">
        <f t="shared" si="109"/>
        <v>242993.16800933122</v>
      </c>
      <c r="AN88" s="31">
        <f t="shared" si="110"/>
        <v>242993.16800933122</v>
      </c>
      <c r="AO88" s="30">
        <f t="shared" si="111"/>
        <v>447240.17906613339</v>
      </c>
      <c r="AP88" s="30">
        <v>0</v>
      </c>
      <c r="AQ88" s="32">
        <f t="shared" si="129"/>
        <v>15318203.821337909</v>
      </c>
      <c r="AR88" s="31">
        <f t="shared" si="112"/>
        <v>161555.1491009742</v>
      </c>
      <c r="AS88" s="31">
        <f t="shared" si="113"/>
        <v>152375.95152009057</v>
      </c>
      <c r="AT88" s="31">
        <f t="shared" si="130"/>
        <v>313931.10062106478</v>
      </c>
      <c r="AU88" s="33">
        <f t="shared" si="131"/>
        <v>72657119.072336286</v>
      </c>
    </row>
    <row r="89" spans="1:47" ht="15" customHeight="1" x14ac:dyDescent="0.2">
      <c r="A89" s="41" t="s">
        <v>87</v>
      </c>
      <c r="B89" s="35">
        <v>14</v>
      </c>
      <c r="C89" s="35">
        <v>3</v>
      </c>
      <c r="D89" s="30">
        <f>+Vigencia_2021!D89*1.03</f>
        <v>1633935.35</v>
      </c>
      <c r="E89" s="30">
        <f t="shared" si="119"/>
        <v>58821672.600000009</v>
      </c>
      <c r="F89" s="30">
        <v>0</v>
      </c>
      <c r="G89" s="30">
        <v>0</v>
      </c>
      <c r="H89" s="30">
        <f t="shared" si="101"/>
        <v>841476</v>
      </c>
      <c r="I89" s="30">
        <f t="shared" si="91"/>
        <v>1315776</v>
      </c>
      <c r="J89" s="30">
        <f t="shared" si="114"/>
        <v>2549298.6049479172</v>
      </c>
      <c r="K89" s="30">
        <f t="shared" si="92"/>
        <v>2450903.0250000004</v>
      </c>
      <c r="L89" s="30">
        <f t="shared" si="120"/>
        <v>12254515.125</v>
      </c>
      <c r="M89" s="30">
        <f t="shared" si="82"/>
        <v>5421293.7811758546</v>
      </c>
      <c r="N89" s="30">
        <f t="shared" si="121"/>
        <v>1233651.1441623266</v>
      </c>
      <c r="O89" s="30"/>
      <c r="P89" s="30">
        <f t="shared" si="105"/>
        <v>84888586.280286103</v>
      </c>
      <c r="Q89" s="30"/>
      <c r="R89" s="30"/>
      <c r="S89" s="30"/>
      <c r="T89" s="30"/>
      <c r="U89" s="30">
        <f t="shared" si="122"/>
        <v>0</v>
      </c>
      <c r="V89" s="30">
        <f t="shared" si="123"/>
        <v>84888586.280286103</v>
      </c>
      <c r="W89" s="30">
        <f t="shared" si="124"/>
        <v>3758051.3050000006</v>
      </c>
      <c r="X89" s="30">
        <v>0</v>
      </c>
      <c r="Y89" s="30">
        <f t="shared" si="60"/>
        <v>326787.07000000007</v>
      </c>
      <c r="Z89" s="30">
        <f t="shared" si="132"/>
        <v>4084838.3750000009</v>
      </c>
      <c r="AA89" s="30"/>
      <c r="AB89" s="30"/>
      <c r="AC89" s="30"/>
      <c r="AD89" s="30"/>
      <c r="AE89" s="30">
        <f t="shared" si="126"/>
        <v>0</v>
      </c>
      <c r="AF89" s="30">
        <f t="shared" si="127"/>
        <v>4084838.3750000009</v>
      </c>
      <c r="AG89" s="30">
        <f t="shared" si="115"/>
        <v>7361532.0720000006</v>
      </c>
      <c r="AH89" s="30">
        <f t="shared" si="116"/>
        <v>5200569.1540937517</v>
      </c>
      <c r="AI89" s="30">
        <f t="shared" si="128"/>
        <v>4901806.0500000007</v>
      </c>
      <c r="AJ89" s="31">
        <f t="shared" si="106"/>
        <v>2720669.8164074142</v>
      </c>
      <c r="AK89" s="31">
        <f t="shared" si="107"/>
        <v>394148.15417179826</v>
      </c>
      <c r="AL89" s="30">
        <f t="shared" si="108"/>
        <v>2060799.673913273</v>
      </c>
      <c r="AM89" s="31">
        <f t="shared" si="109"/>
        <v>384515.34780762519</v>
      </c>
      <c r="AN89" s="31">
        <f t="shared" si="110"/>
        <v>384515.34780762519</v>
      </c>
      <c r="AO89" s="30">
        <f t="shared" si="111"/>
        <v>707718.30507002154</v>
      </c>
      <c r="AP89" s="30">
        <v>0</v>
      </c>
      <c r="AQ89" s="32">
        <f t="shared" si="129"/>
        <v>24116273.921271503</v>
      </c>
      <c r="AR89" s="31">
        <f t="shared" si="112"/>
        <v>255646.83507599006</v>
      </c>
      <c r="AS89" s="31">
        <f t="shared" si="113"/>
        <v>241121.56105564052</v>
      </c>
      <c r="AT89" s="31">
        <f t="shared" si="130"/>
        <v>496768.39613163058</v>
      </c>
      <c r="AU89" s="33">
        <f t="shared" si="131"/>
        <v>113089698.57655761</v>
      </c>
    </row>
    <row r="90" spans="1:47" ht="15" customHeight="1" x14ac:dyDescent="0.2">
      <c r="A90" s="41" t="s">
        <v>87</v>
      </c>
      <c r="B90" s="35">
        <v>15</v>
      </c>
      <c r="C90" s="35">
        <v>2</v>
      </c>
      <c r="D90" s="30">
        <f>+Vigencia_2021!D90*1.03</f>
        <v>1684720.1186180001</v>
      </c>
      <c r="E90" s="30">
        <f t="shared" si="119"/>
        <v>40433282.846832</v>
      </c>
      <c r="F90" s="30">
        <v>0</v>
      </c>
      <c r="G90" s="30">
        <v>0</v>
      </c>
      <c r="H90" s="30">
        <f t="shared" si="101"/>
        <v>841476</v>
      </c>
      <c r="I90" s="30">
        <f t="shared" si="91"/>
        <v>1315776</v>
      </c>
      <c r="J90" s="30">
        <f t="shared" si="114"/>
        <v>1780455.3412520904</v>
      </c>
      <c r="K90" s="30">
        <f t="shared" si="92"/>
        <v>1684720.1186180001</v>
      </c>
      <c r="L90" s="30">
        <f t="shared" si="120"/>
        <v>8423600.5930899996</v>
      </c>
      <c r="M90" s="30">
        <f t="shared" si="82"/>
        <v>3752465.2489722446</v>
      </c>
      <c r="N90" s="30">
        <f t="shared" si="121"/>
        <v>1131124.6809648408</v>
      </c>
      <c r="O90" s="30"/>
      <c r="P90" s="30">
        <f t="shared" si="105"/>
        <v>59362900.82972917</v>
      </c>
      <c r="Q90" s="30"/>
      <c r="R90" s="30"/>
      <c r="S90" s="30"/>
      <c r="T90" s="30"/>
      <c r="U90" s="30">
        <f t="shared" si="122"/>
        <v>0</v>
      </c>
      <c r="V90" s="30">
        <f t="shared" si="123"/>
        <v>59362900.82972917</v>
      </c>
      <c r="W90" s="30">
        <f t="shared" si="124"/>
        <v>2583237.5152142667</v>
      </c>
      <c r="X90" s="30">
        <v>0</v>
      </c>
      <c r="Y90" s="30">
        <f t="shared" si="60"/>
        <v>224629.34914906666</v>
      </c>
      <c r="Z90" s="30">
        <f t="shared" si="132"/>
        <v>2807866.8643633332</v>
      </c>
      <c r="AA90" s="30"/>
      <c r="AB90" s="30"/>
      <c r="AC90" s="30"/>
      <c r="AD90" s="30"/>
      <c r="AE90" s="30">
        <f t="shared" si="126"/>
        <v>0</v>
      </c>
      <c r="AF90" s="30">
        <f t="shared" si="127"/>
        <v>2807866.8643633332</v>
      </c>
      <c r="AG90" s="30">
        <f t="shared" si="115"/>
        <v>5053948.1816198397</v>
      </c>
      <c r="AH90" s="30">
        <f t="shared" si="116"/>
        <v>3632128.8961542649</v>
      </c>
      <c r="AI90" s="30">
        <f t="shared" si="128"/>
        <v>3369440.2372360001</v>
      </c>
      <c r="AJ90" s="31">
        <f t="shared" si="106"/>
        <v>1870154.4406549139</v>
      </c>
      <c r="AK90" s="31">
        <f t="shared" si="107"/>
        <v>270932.5168217856</v>
      </c>
      <c r="AL90" s="30">
        <f t="shared" si="108"/>
        <v>1416567.9489024682</v>
      </c>
      <c r="AM90" s="31">
        <f t="shared" si="109"/>
        <v>264311.046076131</v>
      </c>
      <c r="AN90" s="31">
        <f t="shared" si="110"/>
        <v>264311.046076131</v>
      </c>
      <c r="AO90" s="30">
        <f t="shared" si="111"/>
        <v>486476.72090808104</v>
      </c>
      <c r="AP90" s="30">
        <v>0</v>
      </c>
      <c r="AQ90" s="32">
        <f t="shared" si="129"/>
        <v>16628271.034449613</v>
      </c>
      <c r="AR90" s="31">
        <f t="shared" si="112"/>
        <v>175728.44046472965</v>
      </c>
      <c r="AS90" s="31">
        <f t="shared" si="113"/>
        <v>165743.94857708251</v>
      </c>
      <c r="AT90" s="31">
        <f t="shared" si="130"/>
        <v>341472.38904181216</v>
      </c>
      <c r="AU90" s="33">
        <f t="shared" si="131"/>
        <v>78799038.728542119</v>
      </c>
    </row>
    <row r="91" spans="1:47" ht="15" customHeight="1" x14ac:dyDescent="0.2">
      <c r="A91" s="41" t="s">
        <v>87</v>
      </c>
      <c r="B91" s="35">
        <v>16</v>
      </c>
      <c r="C91" s="35">
        <v>5</v>
      </c>
      <c r="D91" s="30">
        <f>+Vigencia_2021!D91*1.03</f>
        <v>1759628.31</v>
      </c>
      <c r="E91" s="30">
        <f t="shared" si="119"/>
        <v>105577698.60000001</v>
      </c>
      <c r="F91" s="30">
        <v>0</v>
      </c>
      <c r="G91" s="30">
        <v>0</v>
      </c>
      <c r="H91" s="30">
        <f t="shared" si="101"/>
        <v>841476</v>
      </c>
      <c r="I91" s="30">
        <f t="shared" si="91"/>
        <v>1315776</v>
      </c>
      <c r="J91" s="30">
        <f t="shared" si="114"/>
        <v>4499648.4609114593</v>
      </c>
      <c r="K91" s="30">
        <f t="shared" si="92"/>
        <v>3079349.5425</v>
      </c>
      <c r="L91" s="30">
        <f t="shared" si="120"/>
        <v>21995353.875</v>
      </c>
      <c r="M91" s="30">
        <f t="shared" si="82"/>
        <v>9555674.4937802013</v>
      </c>
      <c r="N91" s="30">
        <f t="shared" si="121"/>
        <v>1511397.3219509551</v>
      </c>
      <c r="O91" s="30"/>
      <c r="P91" s="30">
        <f t="shared" si="105"/>
        <v>148376374.2941426</v>
      </c>
      <c r="Q91" s="30"/>
      <c r="R91" s="30"/>
      <c r="S91" s="30"/>
      <c r="T91" s="30"/>
      <c r="U91" s="30">
        <f t="shared" si="122"/>
        <v>0</v>
      </c>
      <c r="V91" s="30">
        <f t="shared" si="123"/>
        <v>148376374.2941426</v>
      </c>
      <c r="W91" s="30">
        <f t="shared" si="124"/>
        <v>6745241.8550000004</v>
      </c>
      <c r="X91" s="30">
        <v>0</v>
      </c>
      <c r="Y91" s="30">
        <f t="shared" ref="Y91:Y107" si="133">+((D91/30)*2)*C91</f>
        <v>586542.77</v>
      </c>
      <c r="Z91" s="30">
        <f t="shared" si="132"/>
        <v>7331784.625</v>
      </c>
      <c r="AA91" s="30"/>
      <c r="AB91" s="30"/>
      <c r="AC91" s="30"/>
      <c r="AD91" s="30"/>
      <c r="AE91" s="30">
        <f t="shared" si="126"/>
        <v>0</v>
      </c>
      <c r="AF91" s="30">
        <f t="shared" si="127"/>
        <v>7331784.625</v>
      </c>
      <c r="AG91" s="30">
        <f t="shared" si="115"/>
        <v>13174209.431999998</v>
      </c>
      <c r="AH91" s="30">
        <f t="shared" si="116"/>
        <v>9179282.8602593765</v>
      </c>
      <c r="AI91" s="30">
        <f t="shared" si="128"/>
        <v>8798141.5500000007</v>
      </c>
      <c r="AJ91" s="31">
        <f t="shared" si="106"/>
        <v>4883269.128031889</v>
      </c>
      <c r="AK91" s="31">
        <f t="shared" si="107"/>
        <v>707447.66657479317</v>
      </c>
      <c r="AL91" s="30">
        <f t="shared" si="108"/>
        <v>3698883.0346077885</v>
      </c>
      <c r="AM91" s="31">
        <f t="shared" si="109"/>
        <v>690157.9588525272</v>
      </c>
      <c r="AN91" s="31">
        <f t="shared" si="110"/>
        <v>690157.9588525272</v>
      </c>
      <c r="AO91" s="30">
        <f t="shared" si="111"/>
        <v>1270267.6854242594</v>
      </c>
      <c r="AP91" s="30">
        <v>0</v>
      </c>
      <c r="AQ91" s="32">
        <f t="shared" si="129"/>
        <v>43091817.274603166</v>
      </c>
      <c r="AR91" s="31">
        <f t="shared" si="112"/>
        <v>458854.76064644905</v>
      </c>
      <c r="AS91" s="31">
        <f t="shared" si="113"/>
        <v>432783.67264745058</v>
      </c>
      <c r="AT91" s="31">
        <f t="shared" si="130"/>
        <v>891638.43329389964</v>
      </c>
      <c r="AU91" s="33">
        <f t="shared" si="131"/>
        <v>198799976.19374576</v>
      </c>
    </row>
    <row r="92" spans="1:47" ht="15" customHeight="1" x14ac:dyDescent="0.2">
      <c r="A92" s="41" t="s">
        <v>88</v>
      </c>
      <c r="B92" s="78" t="s">
        <v>110</v>
      </c>
      <c r="C92" s="35">
        <v>9</v>
      </c>
      <c r="D92" s="30">
        <f>+Vigencia_2021!D92*1.03</f>
        <v>1078700.2357689999</v>
      </c>
      <c r="E92" s="30">
        <f t="shared" si="119"/>
        <v>116499625.46305199</v>
      </c>
      <c r="F92" s="30">
        <v>0</v>
      </c>
      <c r="G92" s="30">
        <v>0</v>
      </c>
      <c r="H92" s="30">
        <f t="shared" si="101"/>
        <v>841476</v>
      </c>
      <c r="I92" s="30">
        <f t="shared" si="91"/>
        <v>1315776</v>
      </c>
      <c r="J92" s="30">
        <f t="shared" si="114"/>
        <v>4960891.2521443898</v>
      </c>
      <c r="K92" s="30">
        <f t="shared" si="92"/>
        <v>4854151.0609604996</v>
      </c>
      <c r="L92" s="30">
        <f t="shared" si="120"/>
        <v>24270755.3048025</v>
      </c>
      <c r="M92" s="30">
        <f t="shared" si="82"/>
        <v>10639328.17390001</v>
      </c>
      <c r="N92" s="30">
        <f t="shared" si="121"/>
        <v>1357270.3106432408</v>
      </c>
      <c r="O92" s="30"/>
      <c r="P92" s="30">
        <f t="shared" si="105"/>
        <v>164739273.56550264</v>
      </c>
      <c r="Q92" s="30"/>
      <c r="R92" s="30"/>
      <c r="S92" s="30"/>
      <c r="T92" s="30"/>
      <c r="U92" s="30">
        <f t="shared" si="122"/>
        <v>0</v>
      </c>
      <c r="V92" s="30">
        <f t="shared" si="123"/>
        <v>164739273.56550264</v>
      </c>
      <c r="W92" s="30">
        <f t="shared" si="124"/>
        <v>7443031.6268060999</v>
      </c>
      <c r="X92" s="30">
        <v>0</v>
      </c>
      <c r="Y92" s="30">
        <f t="shared" si="133"/>
        <v>647220.14146139997</v>
      </c>
      <c r="Z92" s="30">
        <f t="shared" si="132"/>
        <v>8090251.7682675002</v>
      </c>
      <c r="AA92" s="30"/>
      <c r="AB92" s="30"/>
      <c r="AC92" s="30"/>
      <c r="AD92" s="30"/>
      <c r="AE92" s="30">
        <f t="shared" si="126"/>
        <v>0</v>
      </c>
      <c r="AF92" s="30">
        <f t="shared" si="127"/>
        <v>8090251.7682675002</v>
      </c>
      <c r="AG92" s="30">
        <f t="shared" si="115"/>
        <v>14888749.135566238</v>
      </c>
      <c r="AH92" s="30">
        <f t="shared" si="116"/>
        <v>10120218.154374557</v>
      </c>
      <c r="AI92" s="30">
        <f t="shared" si="128"/>
        <v>9708302.1219209991</v>
      </c>
      <c r="AJ92" s="31">
        <f t="shared" si="106"/>
        <v>5388439.3389400858</v>
      </c>
      <c r="AK92" s="31">
        <f t="shared" si="107"/>
        <v>780632.55103643157</v>
      </c>
      <c r="AL92" s="30">
        <f t="shared" si="108"/>
        <v>4081529.4695526212</v>
      </c>
      <c r="AM92" s="31">
        <f t="shared" si="109"/>
        <v>761554.23714325833</v>
      </c>
      <c r="AN92" s="31">
        <f t="shared" si="110"/>
        <v>761554.23714325833</v>
      </c>
      <c r="AO92" s="30">
        <f t="shared" si="111"/>
        <v>1401675.8420773547</v>
      </c>
      <c r="AP92" s="30">
        <v>0</v>
      </c>
      <c r="AQ92" s="32">
        <f t="shared" si="129"/>
        <v>47892655.087754793</v>
      </c>
      <c r="AR92" s="31">
        <f t="shared" si="112"/>
        <v>506322.9116196105</v>
      </c>
      <c r="AS92" s="31">
        <f t="shared" si="113"/>
        <v>477554.79081784113</v>
      </c>
      <c r="AT92" s="31">
        <f t="shared" si="130"/>
        <v>983877.70243745157</v>
      </c>
      <c r="AU92" s="33">
        <f t="shared" si="131"/>
        <v>220722180.42152494</v>
      </c>
    </row>
    <row r="93" spans="1:47" ht="15" customHeight="1" x14ac:dyDescent="0.2">
      <c r="A93" s="41" t="s">
        <v>89</v>
      </c>
      <c r="B93" s="35">
        <v>11</v>
      </c>
      <c r="C93" s="35">
        <v>8</v>
      </c>
      <c r="D93" s="30">
        <f>+Vigencia_2021!D93*1.03</f>
        <v>1442475.86</v>
      </c>
      <c r="E93" s="30">
        <f t="shared" si="119"/>
        <v>138477682.56</v>
      </c>
      <c r="F93" s="30">
        <v>0</v>
      </c>
      <c r="G93" s="30">
        <v>0</v>
      </c>
      <c r="H93" s="30">
        <f t="shared" si="101"/>
        <v>841476</v>
      </c>
      <c r="I93" s="30">
        <f t="shared" si="91"/>
        <v>1315776</v>
      </c>
      <c r="J93" s="30">
        <f t="shared" si="114"/>
        <v>5879823.3269444443</v>
      </c>
      <c r="K93" s="30">
        <f t="shared" si="92"/>
        <v>5769903.4400000004</v>
      </c>
      <c r="L93" s="30">
        <f t="shared" si="120"/>
        <v>28849517.200000003</v>
      </c>
      <c r="M93" s="30">
        <f t="shared" si="82"/>
        <v>12651621.485071374</v>
      </c>
      <c r="N93" s="30">
        <f t="shared" si="121"/>
        <v>1692048.493912037</v>
      </c>
      <c r="O93" s="30"/>
      <c r="P93" s="30">
        <f t="shared" si="105"/>
        <v>195477848.50592786</v>
      </c>
      <c r="Q93" s="30"/>
      <c r="R93" s="30"/>
      <c r="S93" s="30"/>
      <c r="T93" s="30"/>
      <c r="U93" s="30">
        <f t="shared" si="122"/>
        <v>0</v>
      </c>
      <c r="V93" s="30">
        <f t="shared" si="123"/>
        <v>195477848.50592786</v>
      </c>
      <c r="W93" s="30">
        <f t="shared" si="124"/>
        <v>8847185.274666667</v>
      </c>
      <c r="X93" s="30">
        <v>0</v>
      </c>
      <c r="Y93" s="30">
        <f t="shared" si="133"/>
        <v>769320.45866666676</v>
      </c>
      <c r="Z93" s="30">
        <f t="shared" si="132"/>
        <v>9616505.7333333343</v>
      </c>
      <c r="AA93" s="30"/>
      <c r="AB93" s="30"/>
      <c r="AC93" s="30"/>
      <c r="AD93" s="30"/>
      <c r="AE93" s="30">
        <f t="shared" si="126"/>
        <v>0</v>
      </c>
      <c r="AF93" s="30">
        <f t="shared" si="127"/>
        <v>9616505.7333333343</v>
      </c>
      <c r="AG93" s="30">
        <f t="shared" si="115"/>
        <v>17425138.867199998</v>
      </c>
      <c r="AH93" s="30">
        <f t="shared" si="116"/>
        <v>11994839.586966667</v>
      </c>
      <c r="AI93" s="30">
        <f t="shared" si="128"/>
        <v>11539806.880000001</v>
      </c>
      <c r="AJ93" s="31">
        <f t="shared" si="106"/>
        <v>6404987.0487198522</v>
      </c>
      <c r="AK93" s="31">
        <f t="shared" si="107"/>
        <v>927901.58053091844</v>
      </c>
      <c r="AL93" s="30">
        <f t="shared" si="108"/>
        <v>4851524.1143264212</v>
      </c>
      <c r="AM93" s="31">
        <f t="shared" si="109"/>
        <v>905224.07676575182</v>
      </c>
      <c r="AN93" s="31">
        <f t="shared" si="110"/>
        <v>905224.07676575182</v>
      </c>
      <c r="AO93" s="30">
        <f t="shared" si="111"/>
        <v>1666106.8354487368</v>
      </c>
      <c r="AP93" s="30">
        <v>0</v>
      </c>
      <c r="AQ93" s="32">
        <f t="shared" si="129"/>
        <v>56620753.066724099</v>
      </c>
      <c r="AR93" s="31">
        <f t="shared" si="112"/>
        <v>601842.4793164013</v>
      </c>
      <c r="AS93" s="31">
        <f t="shared" si="113"/>
        <v>567647.15307049337</v>
      </c>
      <c r="AT93" s="31">
        <f t="shared" si="130"/>
        <v>1169489.6323868947</v>
      </c>
      <c r="AU93" s="33">
        <f t="shared" si="131"/>
        <v>261715107.3059853</v>
      </c>
    </row>
    <row r="94" spans="1:47" ht="15" customHeight="1" x14ac:dyDescent="0.2">
      <c r="A94" s="41" t="s">
        <v>89</v>
      </c>
      <c r="B94" s="35">
        <v>15</v>
      </c>
      <c r="C94" s="35">
        <v>2</v>
      </c>
      <c r="D94" s="30">
        <f>+Vigencia_2021!D94*1.03</f>
        <v>1684720.1186180001</v>
      </c>
      <c r="E94" s="30">
        <f t="shared" si="119"/>
        <v>40433282.846832</v>
      </c>
      <c r="F94" s="30">
        <v>0</v>
      </c>
      <c r="G94" s="30">
        <v>0</v>
      </c>
      <c r="H94" s="30">
        <f t="shared" si="101"/>
        <v>841476</v>
      </c>
      <c r="I94" s="30">
        <f t="shared" si="91"/>
        <v>1315776</v>
      </c>
      <c r="J94" s="30">
        <f t="shared" si="114"/>
        <v>1780455.3412520904</v>
      </c>
      <c r="K94" s="30">
        <f t="shared" si="92"/>
        <v>1684720.1186180001</v>
      </c>
      <c r="L94" s="30">
        <f t="shared" si="120"/>
        <v>8423600.5930899996</v>
      </c>
      <c r="M94" s="30">
        <f t="shared" si="82"/>
        <v>3752465.2489722446</v>
      </c>
      <c r="N94" s="30">
        <f t="shared" si="121"/>
        <v>1131124.6809648408</v>
      </c>
      <c r="O94" s="30"/>
      <c r="P94" s="30">
        <f t="shared" si="105"/>
        <v>59362900.82972917</v>
      </c>
      <c r="Q94" s="30"/>
      <c r="R94" s="30"/>
      <c r="S94" s="30"/>
      <c r="T94" s="30"/>
      <c r="U94" s="30">
        <f t="shared" si="122"/>
        <v>0</v>
      </c>
      <c r="V94" s="30">
        <f t="shared" si="123"/>
        <v>59362900.82972917</v>
      </c>
      <c r="W94" s="30">
        <f t="shared" si="124"/>
        <v>2583237.5152142667</v>
      </c>
      <c r="X94" s="30">
        <v>0</v>
      </c>
      <c r="Y94" s="30">
        <f t="shared" si="133"/>
        <v>224629.34914906666</v>
      </c>
      <c r="Z94" s="30">
        <f t="shared" si="132"/>
        <v>2807866.8643633332</v>
      </c>
      <c r="AA94" s="30"/>
      <c r="AB94" s="30"/>
      <c r="AC94" s="30"/>
      <c r="AD94" s="30"/>
      <c r="AE94" s="30">
        <f t="shared" si="126"/>
        <v>0</v>
      </c>
      <c r="AF94" s="30">
        <f t="shared" si="127"/>
        <v>2807866.8643633332</v>
      </c>
      <c r="AG94" s="30">
        <f t="shared" si="115"/>
        <v>5053948.1816198397</v>
      </c>
      <c r="AH94" s="30">
        <f t="shared" si="116"/>
        <v>3632128.8961542649</v>
      </c>
      <c r="AI94" s="30">
        <f t="shared" si="128"/>
        <v>3369440.2372360001</v>
      </c>
      <c r="AJ94" s="31">
        <f t="shared" si="106"/>
        <v>1870154.4406549139</v>
      </c>
      <c r="AK94" s="31">
        <f t="shared" si="107"/>
        <v>270932.5168217856</v>
      </c>
      <c r="AL94" s="30">
        <f t="shared" si="108"/>
        <v>1416567.9489024682</v>
      </c>
      <c r="AM94" s="31">
        <f t="shared" si="109"/>
        <v>264311.046076131</v>
      </c>
      <c r="AN94" s="31">
        <f t="shared" si="110"/>
        <v>264311.046076131</v>
      </c>
      <c r="AO94" s="30">
        <f t="shared" si="111"/>
        <v>486476.72090808104</v>
      </c>
      <c r="AP94" s="30">
        <v>0</v>
      </c>
      <c r="AQ94" s="32">
        <f t="shared" si="129"/>
        <v>16628271.034449613</v>
      </c>
      <c r="AR94" s="31">
        <f t="shared" si="112"/>
        <v>175728.44046472965</v>
      </c>
      <c r="AS94" s="31">
        <f t="shared" si="113"/>
        <v>165743.94857708251</v>
      </c>
      <c r="AT94" s="31">
        <f t="shared" si="130"/>
        <v>341472.38904181216</v>
      </c>
      <c r="AU94" s="33">
        <f t="shared" si="131"/>
        <v>78799038.728542119</v>
      </c>
    </row>
    <row r="95" spans="1:47" ht="15" customHeight="1" x14ac:dyDescent="0.2">
      <c r="A95" s="41" t="s">
        <v>89</v>
      </c>
      <c r="B95" s="35">
        <v>19</v>
      </c>
      <c r="C95" s="35">
        <v>1</v>
      </c>
      <c r="D95" s="30">
        <f>+Vigencia_2021!D95*1.03</f>
        <v>1888857.0700680001</v>
      </c>
      <c r="E95" s="30">
        <f t="shared" si="119"/>
        <v>22666284.840816002</v>
      </c>
      <c r="F95" s="30">
        <v>0</v>
      </c>
      <c r="G95" s="30">
        <v>0</v>
      </c>
      <c r="H95" s="30">
        <f t="shared" si="101"/>
        <v>841476</v>
      </c>
      <c r="I95" s="30">
        <f t="shared" si="91"/>
        <v>0</v>
      </c>
      <c r="J95" s="30">
        <f t="shared" si="114"/>
        <v>981785.52105665219</v>
      </c>
      <c r="K95" s="30">
        <f t="shared" si="92"/>
        <v>661099.97452379996</v>
      </c>
      <c r="L95" s="30">
        <f t="shared" si="120"/>
        <v>4722142.6751700006</v>
      </c>
      <c r="M95" s="30">
        <f t="shared" ref="M95:M107" si="134">+(E95/12)+J95/12+K95/12+N95/12</f>
        <v>2115875.4996718466</v>
      </c>
      <c r="N95" s="30">
        <f t="shared" si="121"/>
        <v>1081335.6596657042</v>
      </c>
      <c r="O95" s="30"/>
      <c r="P95" s="30">
        <f t="shared" si="105"/>
        <v>33070000.170904007</v>
      </c>
      <c r="Q95" s="30"/>
      <c r="R95" s="30"/>
      <c r="S95" s="30"/>
      <c r="T95" s="30"/>
      <c r="U95" s="30">
        <f t="shared" si="122"/>
        <v>0</v>
      </c>
      <c r="V95" s="30">
        <f t="shared" si="123"/>
        <v>33070000.170904007</v>
      </c>
      <c r="W95" s="30">
        <f t="shared" si="124"/>
        <v>1448123.7537188001</v>
      </c>
      <c r="X95" s="30">
        <v>0</v>
      </c>
      <c r="Y95" s="30">
        <f t="shared" si="133"/>
        <v>125923.80467120001</v>
      </c>
      <c r="Z95" s="30">
        <f t="shared" si="132"/>
        <v>1574047.5583900001</v>
      </c>
      <c r="AA95" s="30"/>
      <c r="AB95" s="30"/>
      <c r="AC95" s="30"/>
      <c r="AD95" s="30"/>
      <c r="AE95" s="30">
        <f t="shared" si="126"/>
        <v>0</v>
      </c>
      <c r="AF95" s="30">
        <f t="shared" si="127"/>
        <v>1574047.5583900001</v>
      </c>
      <c r="AG95" s="30">
        <f t="shared" si="115"/>
        <v>2820931.30089792</v>
      </c>
      <c r="AH95" s="30">
        <f t="shared" si="116"/>
        <v>2002842.4629555708</v>
      </c>
      <c r="AI95" s="30">
        <f t="shared" si="128"/>
        <v>1888857.0700680001</v>
      </c>
      <c r="AJ95" s="31">
        <f t="shared" si="106"/>
        <v>1048380.2022403053</v>
      </c>
      <c r="AK95" s="31">
        <f t="shared" si="107"/>
        <v>151880.65787744769</v>
      </c>
      <c r="AL95" s="30">
        <f t="shared" si="108"/>
        <v>794106.49755612318</v>
      </c>
      <c r="AM95" s="31">
        <f t="shared" si="109"/>
        <v>148168.76184974494</v>
      </c>
      <c r="AN95" s="31">
        <f t="shared" si="110"/>
        <v>148168.76184974494</v>
      </c>
      <c r="AO95" s="30">
        <f t="shared" si="111"/>
        <v>272711.46808186173</v>
      </c>
      <c r="AP95" s="30">
        <v>0</v>
      </c>
      <c r="AQ95" s="32">
        <f t="shared" si="129"/>
        <v>9276047.1833767164</v>
      </c>
      <c r="AR95" s="31">
        <f t="shared" si="112"/>
        <v>98510.697271221463</v>
      </c>
      <c r="AS95" s="31">
        <f t="shared" si="113"/>
        <v>92913.54262084268</v>
      </c>
      <c r="AT95" s="31">
        <f t="shared" si="130"/>
        <v>191424.23989206413</v>
      </c>
      <c r="AU95" s="33">
        <f t="shared" si="131"/>
        <v>43920094.912670724</v>
      </c>
    </row>
    <row r="96" spans="1:47" ht="15" customHeight="1" x14ac:dyDescent="0.2">
      <c r="A96" s="41" t="s">
        <v>90</v>
      </c>
      <c r="B96" s="78" t="s">
        <v>110</v>
      </c>
      <c r="C96" s="35">
        <v>9</v>
      </c>
      <c r="D96" s="30">
        <f>+Vigencia_2021!D96*1.03</f>
        <v>1078700.2357689999</v>
      </c>
      <c r="E96" s="30">
        <f t="shared" si="119"/>
        <v>116499625.46305199</v>
      </c>
      <c r="F96" s="30">
        <v>0</v>
      </c>
      <c r="G96" s="30">
        <v>0</v>
      </c>
      <c r="H96" s="30">
        <f t="shared" si="101"/>
        <v>841476</v>
      </c>
      <c r="I96" s="30">
        <f t="shared" si="91"/>
        <v>1315776</v>
      </c>
      <c r="J96" s="30">
        <f t="shared" si="114"/>
        <v>4960891.2521443898</v>
      </c>
      <c r="K96" s="30">
        <f t="shared" si="92"/>
        <v>4854151.0609604996</v>
      </c>
      <c r="L96" s="30">
        <f t="shared" si="120"/>
        <v>24270755.3048025</v>
      </c>
      <c r="M96" s="30">
        <f t="shared" si="134"/>
        <v>10639328.17390001</v>
      </c>
      <c r="N96" s="30">
        <f t="shared" si="121"/>
        <v>1357270.3106432408</v>
      </c>
      <c r="O96" s="30"/>
      <c r="P96" s="30">
        <f t="shared" si="105"/>
        <v>164739273.56550264</v>
      </c>
      <c r="Q96" s="30"/>
      <c r="R96" s="30"/>
      <c r="S96" s="30"/>
      <c r="T96" s="30"/>
      <c r="U96" s="30">
        <f t="shared" si="122"/>
        <v>0</v>
      </c>
      <c r="V96" s="30">
        <f t="shared" si="123"/>
        <v>164739273.56550264</v>
      </c>
      <c r="W96" s="30">
        <f t="shared" si="124"/>
        <v>7443031.6268060999</v>
      </c>
      <c r="X96" s="30">
        <v>0</v>
      </c>
      <c r="Y96" s="30">
        <f t="shared" si="133"/>
        <v>647220.14146139997</v>
      </c>
      <c r="Z96" s="30">
        <f t="shared" si="132"/>
        <v>8090251.7682675002</v>
      </c>
      <c r="AA96" s="30"/>
      <c r="AB96" s="30"/>
      <c r="AC96" s="30"/>
      <c r="AD96" s="30"/>
      <c r="AE96" s="30">
        <f t="shared" si="126"/>
        <v>0</v>
      </c>
      <c r="AF96" s="30">
        <f t="shared" si="127"/>
        <v>8090251.7682675002</v>
      </c>
      <c r="AG96" s="30">
        <f t="shared" si="115"/>
        <v>14888749.135566238</v>
      </c>
      <c r="AH96" s="30">
        <f t="shared" si="116"/>
        <v>10120218.154374557</v>
      </c>
      <c r="AI96" s="30">
        <f t="shared" si="128"/>
        <v>9708302.1219209991</v>
      </c>
      <c r="AJ96" s="31">
        <f t="shared" si="106"/>
        <v>5388439.3389400858</v>
      </c>
      <c r="AK96" s="31">
        <f t="shared" si="107"/>
        <v>780632.55103643157</v>
      </c>
      <c r="AL96" s="30">
        <f t="shared" si="108"/>
        <v>4081529.4695526212</v>
      </c>
      <c r="AM96" s="31">
        <f t="shared" si="109"/>
        <v>761554.23714325833</v>
      </c>
      <c r="AN96" s="31">
        <f t="shared" si="110"/>
        <v>761554.23714325833</v>
      </c>
      <c r="AO96" s="30">
        <f t="shared" si="111"/>
        <v>1401675.8420773547</v>
      </c>
      <c r="AP96" s="30">
        <v>0</v>
      </c>
      <c r="AQ96" s="32">
        <f t="shared" si="129"/>
        <v>47892655.087754793</v>
      </c>
      <c r="AR96" s="31">
        <f t="shared" si="112"/>
        <v>506322.9116196105</v>
      </c>
      <c r="AS96" s="31">
        <f t="shared" si="113"/>
        <v>477554.79081784113</v>
      </c>
      <c r="AT96" s="31">
        <f t="shared" si="130"/>
        <v>983877.70243745157</v>
      </c>
      <c r="AU96" s="33">
        <f t="shared" si="131"/>
        <v>220722180.42152494</v>
      </c>
    </row>
    <row r="97" spans="1:47" ht="15" customHeight="1" x14ac:dyDescent="0.2">
      <c r="A97" s="41" t="s">
        <v>90</v>
      </c>
      <c r="B97" s="78" t="s">
        <v>112</v>
      </c>
      <c r="C97" s="35">
        <v>13</v>
      </c>
      <c r="D97" s="30">
        <f>+Vigencia_2021!D97*1.03</f>
        <v>1215876.8900000001</v>
      </c>
      <c r="E97" s="30">
        <f t="shared" si="119"/>
        <v>189676794.84000003</v>
      </c>
      <c r="F97" s="30">
        <v>0</v>
      </c>
      <c r="G97" s="30">
        <v>0</v>
      </c>
      <c r="H97" s="30">
        <f t="shared" si="101"/>
        <v>841476</v>
      </c>
      <c r="I97" s="30">
        <f t="shared" si="91"/>
        <v>1315776</v>
      </c>
      <c r="J97" s="30">
        <f t="shared" si="114"/>
        <v>8020526.9509201394</v>
      </c>
      <c r="K97" s="30">
        <f t="shared" si="92"/>
        <v>7903199.7850000011</v>
      </c>
      <c r="L97" s="30">
        <f t="shared" si="120"/>
        <v>39515998.925000004</v>
      </c>
      <c r="M97" s="30">
        <f t="shared" si="134"/>
        <v>17294619.770742793</v>
      </c>
      <c r="N97" s="30">
        <f t="shared" si="121"/>
        <v>1934915.672993345</v>
      </c>
      <c r="O97" s="30"/>
      <c r="P97" s="30">
        <f t="shared" si="105"/>
        <v>266503307.94465631</v>
      </c>
      <c r="Q97" s="30"/>
      <c r="R97" s="30"/>
      <c r="S97" s="30"/>
      <c r="T97" s="30"/>
      <c r="U97" s="30">
        <f t="shared" si="122"/>
        <v>0</v>
      </c>
      <c r="V97" s="30">
        <f t="shared" si="123"/>
        <v>266503307.94465631</v>
      </c>
      <c r="W97" s="30">
        <f t="shared" si="124"/>
        <v>12118239.670333335</v>
      </c>
      <c r="X97" s="30">
        <v>0</v>
      </c>
      <c r="Y97" s="30">
        <f t="shared" si="133"/>
        <v>1053759.9713333335</v>
      </c>
      <c r="Z97" s="30">
        <f t="shared" si="132"/>
        <v>13171999.641666669</v>
      </c>
      <c r="AA97" s="30"/>
      <c r="AB97" s="30"/>
      <c r="AC97" s="30"/>
      <c r="AD97" s="30"/>
      <c r="AE97" s="30">
        <f t="shared" si="126"/>
        <v>0</v>
      </c>
      <c r="AF97" s="30">
        <f t="shared" si="127"/>
        <v>13171999.641666669</v>
      </c>
      <c r="AG97" s="30">
        <f t="shared" si="115"/>
        <v>24073917.940800004</v>
      </c>
      <c r="AH97" s="30">
        <f t="shared" si="116"/>
        <v>16361874.979877086</v>
      </c>
      <c r="AI97" s="30">
        <f t="shared" si="128"/>
        <v>15806399.570000002</v>
      </c>
      <c r="AJ97" s="31">
        <f t="shared" si="106"/>
        <v>8773091.749759078</v>
      </c>
      <c r="AK97" s="31">
        <f t="shared" si="107"/>
        <v>1270973.0150619496</v>
      </c>
      <c r="AL97" s="30">
        <f t="shared" si="108"/>
        <v>6645269.6714915708</v>
      </c>
      <c r="AM97" s="31">
        <f t="shared" si="109"/>
        <v>1239910.9973445088</v>
      </c>
      <c r="AN97" s="31">
        <f t="shared" si="110"/>
        <v>1239910.9973445088</v>
      </c>
      <c r="AO97" s="30">
        <f t="shared" si="111"/>
        <v>2282113.6125816153</v>
      </c>
      <c r="AP97" s="30">
        <v>0</v>
      </c>
      <c r="AQ97" s="32">
        <f t="shared" si="129"/>
        <v>77693462.534260318</v>
      </c>
      <c r="AR97" s="31">
        <f t="shared" si="112"/>
        <v>824360.65050288779</v>
      </c>
      <c r="AS97" s="31">
        <f t="shared" si="113"/>
        <v>777522.34586833674</v>
      </c>
      <c r="AT97" s="31">
        <f t="shared" si="130"/>
        <v>1601882.9963712245</v>
      </c>
      <c r="AU97" s="33">
        <f t="shared" si="131"/>
        <v>357368770.1205833</v>
      </c>
    </row>
    <row r="98" spans="1:47" ht="15" customHeight="1" x14ac:dyDescent="0.2">
      <c r="A98" s="41" t="s">
        <v>90</v>
      </c>
      <c r="B98" s="35">
        <v>11</v>
      </c>
      <c r="C98" s="35">
        <v>8</v>
      </c>
      <c r="D98" s="30">
        <f>+Vigencia_2021!D98*1.03</f>
        <v>1442475.86</v>
      </c>
      <c r="E98" s="30">
        <f t="shared" si="119"/>
        <v>138477682.56</v>
      </c>
      <c r="F98" s="30">
        <v>0</v>
      </c>
      <c r="G98" s="30">
        <v>0</v>
      </c>
      <c r="H98" s="30">
        <f t="shared" si="101"/>
        <v>841476</v>
      </c>
      <c r="I98" s="30">
        <f t="shared" si="91"/>
        <v>1315776</v>
      </c>
      <c r="J98" s="30">
        <f t="shared" si="114"/>
        <v>5879823.3269444443</v>
      </c>
      <c r="K98" s="30">
        <f t="shared" si="92"/>
        <v>5769903.4400000004</v>
      </c>
      <c r="L98" s="30">
        <f t="shared" si="120"/>
        <v>28849517.200000003</v>
      </c>
      <c r="M98" s="30">
        <f t="shared" si="134"/>
        <v>12651621.485071374</v>
      </c>
      <c r="N98" s="30">
        <f t="shared" si="121"/>
        <v>1692048.493912037</v>
      </c>
      <c r="O98" s="30"/>
      <c r="P98" s="30">
        <f t="shared" si="105"/>
        <v>195477848.50592786</v>
      </c>
      <c r="Q98" s="30"/>
      <c r="R98" s="30"/>
      <c r="S98" s="30"/>
      <c r="T98" s="30"/>
      <c r="U98" s="30">
        <f t="shared" si="122"/>
        <v>0</v>
      </c>
      <c r="V98" s="30">
        <f t="shared" si="123"/>
        <v>195477848.50592786</v>
      </c>
      <c r="W98" s="30">
        <f t="shared" si="124"/>
        <v>8847185.274666667</v>
      </c>
      <c r="X98" s="30">
        <v>0</v>
      </c>
      <c r="Y98" s="30">
        <f t="shared" si="133"/>
        <v>769320.45866666676</v>
      </c>
      <c r="Z98" s="30">
        <f t="shared" si="132"/>
        <v>9616505.7333333343</v>
      </c>
      <c r="AA98" s="30"/>
      <c r="AB98" s="30"/>
      <c r="AC98" s="30"/>
      <c r="AD98" s="30"/>
      <c r="AE98" s="30">
        <f t="shared" si="126"/>
        <v>0</v>
      </c>
      <c r="AF98" s="30">
        <f t="shared" si="127"/>
        <v>9616505.7333333343</v>
      </c>
      <c r="AG98" s="30">
        <f t="shared" si="115"/>
        <v>17425138.867199998</v>
      </c>
      <c r="AH98" s="30">
        <f t="shared" si="116"/>
        <v>11994839.586966667</v>
      </c>
      <c r="AI98" s="30">
        <f t="shared" si="128"/>
        <v>11539806.880000001</v>
      </c>
      <c r="AJ98" s="31">
        <f t="shared" si="106"/>
        <v>6404987.0487198522</v>
      </c>
      <c r="AK98" s="31">
        <f t="shared" si="107"/>
        <v>927901.58053091844</v>
      </c>
      <c r="AL98" s="30">
        <f t="shared" si="108"/>
        <v>4851524.1143264212</v>
      </c>
      <c r="AM98" s="31">
        <f t="shared" si="109"/>
        <v>905224.07676575182</v>
      </c>
      <c r="AN98" s="31">
        <f t="shared" si="110"/>
        <v>905224.07676575182</v>
      </c>
      <c r="AO98" s="30">
        <f t="shared" si="111"/>
        <v>1666106.8354487368</v>
      </c>
      <c r="AP98" s="30">
        <v>0</v>
      </c>
      <c r="AQ98" s="32">
        <f t="shared" si="129"/>
        <v>56620753.066724099</v>
      </c>
      <c r="AR98" s="31">
        <f t="shared" si="112"/>
        <v>601842.4793164013</v>
      </c>
      <c r="AS98" s="31">
        <f t="shared" si="113"/>
        <v>567647.15307049337</v>
      </c>
      <c r="AT98" s="31">
        <f t="shared" si="130"/>
        <v>1169489.6323868947</v>
      </c>
      <c r="AU98" s="33">
        <f t="shared" si="131"/>
        <v>261715107.3059853</v>
      </c>
    </row>
    <row r="99" spans="1:47" ht="15" customHeight="1" x14ac:dyDescent="0.2">
      <c r="A99" s="41" t="s">
        <v>91</v>
      </c>
      <c r="B99" s="35">
        <v>11</v>
      </c>
      <c r="C99" s="35">
        <v>4</v>
      </c>
      <c r="D99" s="30">
        <f>+Vigencia_2021!D99*1.03</f>
        <v>1442475.86</v>
      </c>
      <c r="E99" s="30">
        <f t="shared" si="119"/>
        <v>69238841.280000001</v>
      </c>
      <c r="F99" s="30">
        <v>0</v>
      </c>
      <c r="G99" s="30">
        <v>0</v>
      </c>
      <c r="H99" s="30">
        <f t="shared" si="101"/>
        <v>841476</v>
      </c>
      <c r="I99" s="30">
        <f t="shared" si="91"/>
        <v>1315776</v>
      </c>
      <c r="J99" s="30">
        <f t="shared" si="114"/>
        <v>2984854.4134722222</v>
      </c>
      <c r="K99" s="30">
        <f t="shared" si="92"/>
        <v>2884951.72</v>
      </c>
      <c r="L99" s="30">
        <f t="shared" si="120"/>
        <v>14424758.600000001</v>
      </c>
      <c r="M99" s="30">
        <f t="shared" si="134"/>
        <v>6359919.6545495754</v>
      </c>
      <c r="N99" s="30">
        <f t="shared" si="121"/>
        <v>1210388.4411226853</v>
      </c>
      <c r="O99" s="30"/>
      <c r="P99" s="30">
        <f t="shared" si="105"/>
        <v>99260966.109144479</v>
      </c>
      <c r="Q99" s="30"/>
      <c r="R99" s="30"/>
      <c r="S99" s="30"/>
      <c r="T99" s="30"/>
      <c r="U99" s="30">
        <f t="shared" si="122"/>
        <v>0</v>
      </c>
      <c r="V99" s="30">
        <f t="shared" si="123"/>
        <v>99260966.109144479</v>
      </c>
      <c r="W99" s="30">
        <f t="shared" si="124"/>
        <v>4423592.6373333335</v>
      </c>
      <c r="X99" s="30">
        <v>0</v>
      </c>
      <c r="Y99" s="30">
        <f t="shared" si="133"/>
        <v>384660.22933333338</v>
      </c>
      <c r="Z99" s="30">
        <f t="shared" si="132"/>
        <v>4808252.8666666672</v>
      </c>
      <c r="AA99" s="30"/>
      <c r="AB99" s="30"/>
      <c r="AC99" s="30"/>
      <c r="AD99" s="30"/>
      <c r="AE99" s="30">
        <f t="shared" si="126"/>
        <v>0</v>
      </c>
      <c r="AF99" s="30">
        <f t="shared" si="127"/>
        <v>4808252.8666666672</v>
      </c>
      <c r="AG99" s="30">
        <f t="shared" si="115"/>
        <v>8712569.4335999992</v>
      </c>
      <c r="AH99" s="30">
        <f t="shared" si="116"/>
        <v>6089103.0034833336</v>
      </c>
      <c r="AI99" s="30">
        <f t="shared" si="128"/>
        <v>5769903.4400000004</v>
      </c>
      <c r="AJ99" s="31">
        <f t="shared" si="106"/>
        <v>3202493.5243599261</v>
      </c>
      <c r="AK99" s="31">
        <f t="shared" si="107"/>
        <v>463950.79026545922</v>
      </c>
      <c r="AL99" s="30">
        <f t="shared" si="108"/>
        <v>2425762.0571632106</v>
      </c>
      <c r="AM99" s="31">
        <f t="shared" si="109"/>
        <v>452612.03838287591</v>
      </c>
      <c r="AN99" s="31">
        <f t="shared" si="110"/>
        <v>452612.03838287591</v>
      </c>
      <c r="AO99" s="30">
        <f t="shared" si="111"/>
        <v>833053.4177243684</v>
      </c>
      <c r="AP99" s="30">
        <v>0</v>
      </c>
      <c r="AQ99" s="32">
        <f t="shared" si="129"/>
        <v>28402059.743362051</v>
      </c>
      <c r="AR99" s="31">
        <f t="shared" si="112"/>
        <v>300921.23965820065</v>
      </c>
      <c r="AS99" s="31">
        <f t="shared" si="113"/>
        <v>283823.57653524668</v>
      </c>
      <c r="AT99" s="31">
        <f t="shared" si="130"/>
        <v>584744.81619344733</v>
      </c>
      <c r="AU99" s="33">
        <f t="shared" si="131"/>
        <v>132471278.71917321</v>
      </c>
    </row>
    <row r="100" spans="1:47" ht="15" customHeight="1" x14ac:dyDescent="0.2">
      <c r="A100" s="41" t="s">
        <v>91</v>
      </c>
      <c r="B100" s="35">
        <v>13</v>
      </c>
      <c r="C100" s="35">
        <v>5</v>
      </c>
      <c r="D100" s="30">
        <f>+Vigencia_2021!D100*1.03</f>
        <v>1598908.1400000001</v>
      </c>
      <c r="E100" s="30">
        <f t="shared" si="119"/>
        <v>95934488.400000006</v>
      </c>
      <c r="F100" s="30">
        <v>0</v>
      </c>
      <c r="G100" s="30">
        <v>0</v>
      </c>
      <c r="H100" s="30">
        <f t="shared" si="101"/>
        <v>841476</v>
      </c>
      <c r="I100" s="30">
        <f t="shared" si="91"/>
        <v>1315776</v>
      </c>
      <c r="J100" s="30">
        <f t="shared" si="114"/>
        <v>4101035.2609375003</v>
      </c>
      <c r="K100" s="30">
        <f t="shared" si="92"/>
        <v>3997270.3500000006</v>
      </c>
      <c r="L100" s="30">
        <f t="shared" si="120"/>
        <v>19986351.75</v>
      </c>
      <c r="M100" s="30">
        <f t="shared" si="134"/>
        <v>8792258.906820748</v>
      </c>
      <c r="N100" s="30">
        <f t="shared" si="121"/>
        <v>1474312.8709114585</v>
      </c>
      <c r="O100" s="30"/>
      <c r="P100" s="30">
        <f t="shared" si="105"/>
        <v>136442969.53866971</v>
      </c>
      <c r="Q100" s="30"/>
      <c r="R100" s="30"/>
      <c r="S100" s="30"/>
      <c r="T100" s="30"/>
      <c r="U100" s="30">
        <f t="shared" si="122"/>
        <v>0</v>
      </c>
      <c r="V100" s="30">
        <f t="shared" si="123"/>
        <v>136442969.53866971</v>
      </c>
      <c r="W100" s="30">
        <f t="shared" si="124"/>
        <v>6129147.8700000001</v>
      </c>
      <c r="X100" s="30">
        <v>0</v>
      </c>
      <c r="Y100" s="30">
        <f t="shared" si="133"/>
        <v>532969.38</v>
      </c>
      <c r="Z100" s="30">
        <f t="shared" si="132"/>
        <v>6662117.25</v>
      </c>
      <c r="AA100" s="30"/>
      <c r="AB100" s="30"/>
      <c r="AC100" s="30"/>
      <c r="AD100" s="30"/>
      <c r="AE100" s="30">
        <f t="shared" si="126"/>
        <v>0</v>
      </c>
      <c r="AF100" s="30">
        <f t="shared" si="127"/>
        <v>6662117.25</v>
      </c>
      <c r="AG100" s="30">
        <f t="shared" si="115"/>
        <v>12017024.208000001</v>
      </c>
      <c r="AH100" s="30">
        <f t="shared" si="116"/>
        <v>8366111.9323125007</v>
      </c>
      <c r="AI100" s="30">
        <f t="shared" si="128"/>
        <v>7994540.7000000002</v>
      </c>
      <c r="AJ100" s="31">
        <f t="shared" si="106"/>
        <v>4437243.2031517439</v>
      </c>
      <c r="AK100" s="31">
        <f t="shared" si="107"/>
        <v>642831.11739117373</v>
      </c>
      <c r="AL100" s="30">
        <f t="shared" si="108"/>
        <v>3361036.0547917616</v>
      </c>
      <c r="AM100" s="31">
        <f t="shared" si="109"/>
        <v>627120.6095195699</v>
      </c>
      <c r="AN100" s="31">
        <f t="shared" si="110"/>
        <v>627120.6095195699</v>
      </c>
      <c r="AO100" s="30">
        <f t="shared" si="111"/>
        <v>1154244.5246313456</v>
      </c>
      <c r="AP100" s="30">
        <v>0</v>
      </c>
      <c r="AQ100" s="32">
        <f t="shared" si="129"/>
        <v>39227272.959317662</v>
      </c>
      <c r="AR100" s="31">
        <f t="shared" si="112"/>
        <v>416944.08285313332</v>
      </c>
      <c r="AS100" s="31">
        <f t="shared" si="113"/>
        <v>393254.26462086418</v>
      </c>
      <c r="AT100" s="31">
        <f t="shared" si="130"/>
        <v>810198.34747399751</v>
      </c>
      <c r="AU100" s="33">
        <f t="shared" si="131"/>
        <v>182332359.74798736</v>
      </c>
    </row>
    <row r="101" spans="1:47" ht="15" customHeight="1" x14ac:dyDescent="0.2">
      <c r="A101" s="41" t="s">
        <v>92</v>
      </c>
      <c r="B101" s="35">
        <v>26</v>
      </c>
      <c r="C101" s="35">
        <v>1</v>
      </c>
      <c r="D101" s="30">
        <f>+Vigencia_2021!D101*1.03</f>
        <v>3129520.0700000003</v>
      </c>
      <c r="E101" s="30">
        <f t="shared" si="119"/>
        <v>37554240.840000004</v>
      </c>
      <c r="F101" s="30">
        <v>0</v>
      </c>
      <c r="G101" s="30">
        <v>0</v>
      </c>
      <c r="H101" s="30">
        <f t="shared" si="101"/>
        <v>0</v>
      </c>
      <c r="I101" s="30">
        <f t="shared" si="91"/>
        <v>0</v>
      </c>
      <c r="J101" s="30">
        <f t="shared" si="114"/>
        <v>1568563.2711961807</v>
      </c>
      <c r="K101" s="30">
        <f t="shared" si="92"/>
        <v>1095332.0245000001</v>
      </c>
      <c r="L101" s="30">
        <f t="shared" si="120"/>
        <v>7823800.1750000007</v>
      </c>
      <c r="M101" s="30">
        <f t="shared" si="134"/>
        <v>3500407.2871114612</v>
      </c>
      <c r="N101" s="30">
        <f t="shared" si="121"/>
        <v>1786751.3096413484</v>
      </c>
      <c r="O101" s="30"/>
      <c r="P101" s="30">
        <f t="shared" si="105"/>
        <v>53329094.907448992</v>
      </c>
      <c r="Q101" s="30"/>
      <c r="R101" s="30"/>
      <c r="S101" s="30"/>
      <c r="T101" s="30"/>
      <c r="U101" s="30">
        <f t="shared" si="122"/>
        <v>0</v>
      </c>
      <c r="V101" s="30">
        <f t="shared" si="123"/>
        <v>53329094.907448992</v>
      </c>
      <c r="W101" s="30">
        <f t="shared" si="124"/>
        <v>2399298.7203333336</v>
      </c>
      <c r="X101" s="30">
        <v>0</v>
      </c>
      <c r="Y101" s="30">
        <f t="shared" si="133"/>
        <v>208634.67133333336</v>
      </c>
      <c r="Z101" s="30">
        <f t="shared" si="132"/>
        <v>2607933.3916666671</v>
      </c>
      <c r="AA101" s="30"/>
      <c r="AB101" s="30"/>
      <c r="AC101" s="30"/>
      <c r="AD101" s="30"/>
      <c r="AE101" s="30">
        <f t="shared" si="126"/>
        <v>0</v>
      </c>
      <c r="AF101" s="30">
        <f t="shared" si="127"/>
        <v>2607933.3916666671</v>
      </c>
      <c r="AG101" s="30">
        <f t="shared" si="115"/>
        <v>4506508.9007999999</v>
      </c>
      <c r="AH101" s="30">
        <f t="shared" si="116"/>
        <v>3199869.0732402089</v>
      </c>
      <c r="AI101" s="30">
        <f t="shared" si="128"/>
        <v>3129520.0700000003</v>
      </c>
      <c r="AJ101" s="31">
        <f t="shared" si="106"/>
        <v>1736990.5515315561</v>
      </c>
      <c r="AK101" s="31">
        <f t="shared" si="107"/>
        <v>251640.83328717115</v>
      </c>
      <c r="AL101" s="30">
        <f t="shared" si="108"/>
        <v>1315701.5748840254</v>
      </c>
      <c r="AM101" s="31">
        <f t="shared" si="109"/>
        <v>245490.8427449906</v>
      </c>
      <c r="AN101" s="31">
        <f t="shared" si="110"/>
        <v>245490.8427449906</v>
      </c>
      <c r="AO101" s="30">
        <f t="shared" si="111"/>
        <v>451837.26508783735</v>
      </c>
      <c r="AP101" s="30">
        <v>0</v>
      </c>
      <c r="AQ101" s="32">
        <f t="shared" si="129"/>
        <v>15083049.954320781</v>
      </c>
      <c r="AR101" s="31">
        <f t="shared" si="112"/>
        <v>163215.73988066928</v>
      </c>
      <c r="AS101" s="31">
        <f t="shared" si="113"/>
        <v>153942.19129362685</v>
      </c>
      <c r="AT101" s="31">
        <f t="shared" si="130"/>
        <v>317157.93117429613</v>
      </c>
      <c r="AU101" s="33">
        <f t="shared" si="131"/>
        <v>71020078.253436446</v>
      </c>
    </row>
    <row r="102" spans="1:47" ht="15" customHeight="1" x14ac:dyDescent="0.2">
      <c r="A102" s="41" t="s">
        <v>93</v>
      </c>
      <c r="B102" s="35">
        <v>16</v>
      </c>
      <c r="C102" s="35">
        <v>4</v>
      </c>
      <c r="D102" s="30">
        <f>+Vigencia_2021!D102*1.03</f>
        <v>1759628.31</v>
      </c>
      <c r="E102" s="30">
        <f t="shared" si="119"/>
        <v>84462158.879999995</v>
      </c>
      <c r="F102" s="30">
        <v>0</v>
      </c>
      <c r="G102" s="30">
        <v>0</v>
      </c>
      <c r="H102" s="30">
        <f t="shared" si="101"/>
        <v>841476</v>
      </c>
      <c r="I102" s="30">
        <f t="shared" si="91"/>
        <v>1315776</v>
      </c>
      <c r="J102" s="30">
        <f t="shared" si="114"/>
        <v>3617695.8687291667</v>
      </c>
      <c r="K102" s="30">
        <f t="shared" si="92"/>
        <v>2463479.6340000001</v>
      </c>
      <c r="L102" s="30">
        <f t="shared" si="120"/>
        <v>17596283.100000001</v>
      </c>
      <c r="M102" s="30">
        <f t="shared" si="134"/>
        <v>7660826.0969130481</v>
      </c>
      <c r="N102" s="30">
        <f t="shared" si="121"/>
        <v>1386578.7802274306</v>
      </c>
      <c r="O102" s="30"/>
      <c r="P102" s="30">
        <f t="shared" si="105"/>
        <v>119344274.35986966</v>
      </c>
      <c r="Q102" s="30"/>
      <c r="R102" s="30"/>
      <c r="S102" s="30"/>
      <c r="T102" s="30"/>
      <c r="U102" s="30">
        <f t="shared" si="122"/>
        <v>0</v>
      </c>
      <c r="V102" s="30">
        <f t="shared" si="123"/>
        <v>119344274.35986966</v>
      </c>
      <c r="W102" s="30">
        <f t="shared" si="124"/>
        <v>5396193.4839999992</v>
      </c>
      <c r="X102" s="30">
        <v>0</v>
      </c>
      <c r="Y102" s="30">
        <f t="shared" si="133"/>
        <v>469234.21600000001</v>
      </c>
      <c r="Z102" s="30">
        <f t="shared" si="132"/>
        <v>5865427.6999999993</v>
      </c>
      <c r="AA102" s="30"/>
      <c r="AB102" s="30"/>
      <c r="AC102" s="30"/>
      <c r="AD102" s="30"/>
      <c r="AE102" s="30">
        <f t="shared" si="126"/>
        <v>0</v>
      </c>
      <c r="AF102" s="30">
        <f t="shared" si="127"/>
        <v>5865427.6999999993</v>
      </c>
      <c r="AG102" s="30">
        <f t="shared" si="115"/>
        <v>10539367.545599999</v>
      </c>
      <c r="AH102" s="30">
        <f t="shared" si="116"/>
        <v>7380099.5722075002</v>
      </c>
      <c r="AI102" s="30">
        <f t="shared" si="128"/>
        <v>7038513.2399999993</v>
      </c>
      <c r="AJ102" s="31">
        <f t="shared" si="106"/>
        <v>3906615.3024255112</v>
      </c>
      <c r="AK102" s="31">
        <f t="shared" si="107"/>
        <v>565958.13325983461</v>
      </c>
      <c r="AL102" s="30">
        <f t="shared" si="108"/>
        <v>2959106.4276862312</v>
      </c>
      <c r="AM102" s="31">
        <f t="shared" si="109"/>
        <v>552126.36708202166</v>
      </c>
      <c r="AN102" s="31">
        <f t="shared" si="110"/>
        <v>552126.36708202166</v>
      </c>
      <c r="AO102" s="30">
        <f t="shared" si="111"/>
        <v>1016214.1483394075</v>
      </c>
      <c r="AP102" s="30">
        <v>0</v>
      </c>
      <c r="AQ102" s="32">
        <f t="shared" si="129"/>
        <v>34510127.103682525</v>
      </c>
      <c r="AR102" s="31">
        <f t="shared" si="112"/>
        <v>367083.8085171592</v>
      </c>
      <c r="AS102" s="31">
        <f t="shared" si="113"/>
        <v>346226.93811796047</v>
      </c>
      <c r="AT102" s="31">
        <f t="shared" si="130"/>
        <v>713310.74663511966</v>
      </c>
      <c r="AU102" s="33">
        <f t="shared" si="131"/>
        <v>159719829.16355219</v>
      </c>
    </row>
    <row r="103" spans="1:47" ht="15" customHeight="1" x14ac:dyDescent="0.2">
      <c r="A103" s="41" t="s">
        <v>93</v>
      </c>
      <c r="B103" s="35">
        <v>18</v>
      </c>
      <c r="C103" s="35">
        <v>14</v>
      </c>
      <c r="D103" s="30">
        <f>+Vigencia_2021!D103*1.03</f>
        <v>1841358.6342819999</v>
      </c>
      <c r="E103" s="30">
        <f t="shared" si="119"/>
        <v>309348250.559376</v>
      </c>
      <c r="F103" s="30">
        <v>0</v>
      </c>
      <c r="G103" s="30">
        <v>0</v>
      </c>
      <c r="H103" s="30">
        <f t="shared" si="101"/>
        <v>841476</v>
      </c>
      <c r="I103" s="30">
        <f t="shared" si="91"/>
        <v>1315776</v>
      </c>
      <c r="J103" s="30">
        <f t="shared" si="114"/>
        <v>13010724.611182271</v>
      </c>
      <c r="K103" s="30">
        <f t="shared" si="92"/>
        <v>9022657.3079817984</v>
      </c>
      <c r="L103" s="30">
        <f t="shared" si="120"/>
        <v>64447552.199869998</v>
      </c>
      <c r="M103" s="30">
        <f t="shared" si="134"/>
        <v>27844868.912967622</v>
      </c>
      <c r="N103" s="30">
        <f t="shared" si="121"/>
        <v>2756794.4770713388</v>
      </c>
      <c r="O103" s="30"/>
      <c r="P103" s="30">
        <f t="shared" si="105"/>
        <v>428588100.06844902</v>
      </c>
      <c r="Q103" s="30"/>
      <c r="R103" s="30"/>
      <c r="S103" s="30"/>
      <c r="T103" s="30"/>
      <c r="U103" s="30">
        <f t="shared" si="122"/>
        <v>0</v>
      </c>
      <c r="V103" s="30">
        <f t="shared" si="123"/>
        <v>428588100.06844902</v>
      </c>
      <c r="W103" s="30">
        <f t="shared" si="124"/>
        <v>19763916.007960133</v>
      </c>
      <c r="X103" s="30">
        <v>0</v>
      </c>
      <c r="Y103" s="30">
        <f t="shared" si="133"/>
        <v>1718601.3919965334</v>
      </c>
      <c r="Z103" s="30">
        <f t="shared" si="132"/>
        <v>21482517.399956666</v>
      </c>
      <c r="AA103" s="30"/>
      <c r="AB103" s="30"/>
      <c r="AC103" s="30"/>
      <c r="AD103" s="30"/>
      <c r="AE103" s="30">
        <f t="shared" si="126"/>
        <v>0</v>
      </c>
      <c r="AF103" s="30">
        <f t="shared" si="127"/>
        <v>21482517.399956666</v>
      </c>
      <c r="AG103" s="30">
        <f t="shared" si="115"/>
        <v>38535469.747125119</v>
      </c>
      <c r="AH103" s="30">
        <f t="shared" si="116"/>
        <v>26541878.206811834</v>
      </c>
      <c r="AI103" s="30">
        <f t="shared" si="128"/>
        <v>25779020.879948001</v>
      </c>
      <c r="AJ103" s="31">
        <f t="shared" si="106"/>
        <v>14308237.267896596</v>
      </c>
      <c r="AK103" s="31">
        <f t="shared" si="107"/>
        <v>2072859.14467949</v>
      </c>
      <c r="AL103" s="30">
        <f t="shared" si="108"/>
        <v>10837923.263651013</v>
      </c>
      <c r="AM103" s="31">
        <f t="shared" si="109"/>
        <v>2022199.385019168</v>
      </c>
      <c r="AN103" s="31">
        <f t="shared" si="110"/>
        <v>2022199.385019168</v>
      </c>
      <c r="AO103" s="30">
        <f t="shared" si="111"/>
        <v>3721951.6189387967</v>
      </c>
      <c r="AP103" s="30">
        <v>0</v>
      </c>
      <c r="AQ103" s="32">
        <f t="shared" si="129"/>
        <v>125841738.89908919</v>
      </c>
      <c r="AR103" s="31">
        <f t="shared" si="112"/>
        <v>1344468.7594925486</v>
      </c>
      <c r="AS103" s="31">
        <f t="shared" si="113"/>
        <v>1268079.0903709894</v>
      </c>
      <c r="AT103" s="31">
        <f t="shared" si="130"/>
        <v>2612547.8498635381</v>
      </c>
      <c r="AU103" s="33">
        <f t="shared" si="131"/>
        <v>575912356.36749482</v>
      </c>
    </row>
    <row r="104" spans="1:47" ht="15" customHeight="1" x14ac:dyDescent="0.2">
      <c r="A104" s="41" t="s">
        <v>93</v>
      </c>
      <c r="B104" s="35">
        <v>19</v>
      </c>
      <c r="C104" s="35">
        <v>1</v>
      </c>
      <c r="D104" s="30">
        <f>+Vigencia_2021!D104*1.03</f>
        <v>1888857.0700680001</v>
      </c>
      <c r="E104" s="30">
        <f t="shared" si="119"/>
        <v>22666284.840816002</v>
      </c>
      <c r="F104" s="30">
        <v>0</v>
      </c>
      <c r="G104" s="30">
        <v>0</v>
      </c>
      <c r="H104" s="30">
        <f t="shared" si="101"/>
        <v>841476</v>
      </c>
      <c r="I104" s="30">
        <f t="shared" si="91"/>
        <v>0</v>
      </c>
      <c r="J104" s="30">
        <f t="shared" si="114"/>
        <v>981785.52105665219</v>
      </c>
      <c r="K104" s="30">
        <f t="shared" si="92"/>
        <v>661099.97452379996</v>
      </c>
      <c r="L104" s="30">
        <f t="shared" si="120"/>
        <v>4722142.6751700006</v>
      </c>
      <c r="M104" s="30">
        <f t="shared" si="134"/>
        <v>2115875.4996718466</v>
      </c>
      <c r="N104" s="30">
        <f t="shared" si="121"/>
        <v>1081335.6596657042</v>
      </c>
      <c r="O104" s="30"/>
      <c r="P104" s="30">
        <f t="shared" si="105"/>
        <v>33070000.170904007</v>
      </c>
      <c r="Q104" s="30"/>
      <c r="R104" s="30"/>
      <c r="S104" s="30"/>
      <c r="T104" s="30"/>
      <c r="U104" s="30">
        <f t="shared" si="122"/>
        <v>0</v>
      </c>
      <c r="V104" s="30">
        <f t="shared" si="123"/>
        <v>33070000.170904007</v>
      </c>
      <c r="W104" s="30">
        <f t="shared" si="124"/>
        <v>1448123.7537188001</v>
      </c>
      <c r="X104" s="30">
        <v>0</v>
      </c>
      <c r="Y104" s="30">
        <f t="shared" si="133"/>
        <v>125923.80467120001</v>
      </c>
      <c r="Z104" s="30">
        <f t="shared" si="132"/>
        <v>1574047.5583900001</v>
      </c>
      <c r="AA104" s="30"/>
      <c r="AB104" s="30"/>
      <c r="AC104" s="30"/>
      <c r="AD104" s="30"/>
      <c r="AE104" s="30">
        <f t="shared" si="126"/>
        <v>0</v>
      </c>
      <c r="AF104" s="30">
        <f t="shared" si="127"/>
        <v>1574047.5583900001</v>
      </c>
      <c r="AG104" s="30">
        <f t="shared" si="115"/>
        <v>2820931.30089792</v>
      </c>
      <c r="AH104" s="30">
        <f t="shared" si="116"/>
        <v>2002842.4629555708</v>
      </c>
      <c r="AI104" s="30">
        <f t="shared" si="128"/>
        <v>1888857.0700680001</v>
      </c>
      <c r="AJ104" s="31">
        <f t="shared" si="106"/>
        <v>1048380.2022403053</v>
      </c>
      <c r="AK104" s="31">
        <f t="shared" si="107"/>
        <v>151880.65787744769</v>
      </c>
      <c r="AL104" s="30">
        <f t="shared" si="108"/>
        <v>794106.49755612318</v>
      </c>
      <c r="AM104" s="31">
        <f t="shared" si="109"/>
        <v>148168.76184974494</v>
      </c>
      <c r="AN104" s="31">
        <f t="shared" si="110"/>
        <v>148168.76184974494</v>
      </c>
      <c r="AO104" s="30">
        <f t="shared" si="111"/>
        <v>272711.46808186173</v>
      </c>
      <c r="AP104" s="30">
        <v>0</v>
      </c>
      <c r="AQ104" s="32">
        <f t="shared" si="129"/>
        <v>9276047.1833767164</v>
      </c>
      <c r="AR104" s="31">
        <f t="shared" si="112"/>
        <v>98510.697271221463</v>
      </c>
      <c r="AS104" s="31">
        <f t="shared" si="113"/>
        <v>92913.54262084268</v>
      </c>
      <c r="AT104" s="31">
        <f t="shared" si="130"/>
        <v>191424.23989206413</v>
      </c>
      <c r="AU104" s="33">
        <f t="shared" si="131"/>
        <v>43920094.912670724</v>
      </c>
    </row>
    <row r="105" spans="1:47" ht="15" customHeight="1" x14ac:dyDescent="0.2">
      <c r="A105" s="41" t="s">
        <v>93</v>
      </c>
      <c r="B105" s="35">
        <v>20</v>
      </c>
      <c r="C105" s="35">
        <v>15</v>
      </c>
      <c r="D105" s="30">
        <f>+Vigencia_2021!D105*1.03</f>
        <v>1947542.54</v>
      </c>
      <c r="E105" s="30">
        <f t="shared" si="119"/>
        <v>350557657.20000005</v>
      </c>
      <c r="F105" s="30">
        <v>0</v>
      </c>
      <c r="G105" s="30">
        <v>0</v>
      </c>
      <c r="H105" s="30">
        <f t="shared" si="101"/>
        <v>0</v>
      </c>
      <c r="I105" s="30">
        <f t="shared" si="91"/>
        <v>0</v>
      </c>
      <c r="J105" s="30">
        <f t="shared" si="114"/>
        <v>14642071.127552085</v>
      </c>
      <c r="K105" s="30">
        <f t="shared" si="92"/>
        <v>10224598.334999999</v>
      </c>
      <c r="L105" s="30">
        <v>0</v>
      </c>
      <c r="M105" s="30">
        <f t="shared" si="134"/>
        <v>31539193.365647066</v>
      </c>
      <c r="N105" s="30">
        <f t="shared" si="121"/>
        <v>3045993.7252126737</v>
      </c>
      <c r="O105" s="30"/>
      <c r="P105" s="30">
        <f t="shared" si="105"/>
        <v>410009513.75341189</v>
      </c>
      <c r="Q105" s="30"/>
      <c r="R105" s="30"/>
      <c r="S105" s="30"/>
      <c r="T105" s="30"/>
      <c r="U105" s="30">
        <f t="shared" si="122"/>
        <v>0</v>
      </c>
      <c r="V105" s="30">
        <f t="shared" si="123"/>
        <v>410009513.75341189</v>
      </c>
      <c r="W105" s="30">
        <f t="shared" si="124"/>
        <v>22396739.210000005</v>
      </c>
      <c r="X105" s="30">
        <v>0</v>
      </c>
      <c r="Y105" s="30">
        <f t="shared" si="133"/>
        <v>1947542.54</v>
      </c>
      <c r="Z105" s="30">
        <f t="shared" si="132"/>
        <v>24344281.750000004</v>
      </c>
      <c r="AA105" s="30"/>
      <c r="AB105" s="30"/>
      <c r="AC105" s="30"/>
      <c r="AD105" s="30"/>
      <c r="AE105" s="30">
        <f t="shared" si="126"/>
        <v>0</v>
      </c>
      <c r="AF105" s="30">
        <f t="shared" si="127"/>
        <v>24344281.750000004</v>
      </c>
      <c r="AG105" s="30">
        <f t="shared" si="115"/>
        <v>42066918.864</v>
      </c>
      <c r="AH105" s="30">
        <f t="shared" si="116"/>
        <v>29869825.100206256</v>
      </c>
      <c r="AI105" s="30">
        <f t="shared" si="128"/>
        <v>29213138.100000005</v>
      </c>
      <c r="AJ105" s="31">
        <f t="shared" si="106"/>
        <v>16214289.643551163</v>
      </c>
      <c r="AK105" s="31">
        <f t="shared" si="107"/>
        <v>2348992.2575946944</v>
      </c>
      <c r="AL105" s="30">
        <f t="shared" si="108"/>
        <v>12281682.477107272</v>
      </c>
      <c r="AM105" s="31">
        <f t="shared" si="109"/>
        <v>2291583.9269229528</v>
      </c>
      <c r="AN105" s="31">
        <f t="shared" si="110"/>
        <v>2291583.9269229528</v>
      </c>
      <c r="AO105" s="30">
        <f t="shared" si="111"/>
        <v>4217766.3438781854</v>
      </c>
      <c r="AP105" s="30">
        <v>0</v>
      </c>
      <c r="AQ105" s="32">
        <f t="shared" si="129"/>
        <v>140795780.64018345</v>
      </c>
      <c r="AR105" s="31">
        <f t="shared" si="112"/>
        <v>1523570.3374887346</v>
      </c>
      <c r="AS105" s="31">
        <f t="shared" si="113"/>
        <v>1437004.5224465802</v>
      </c>
      <c r="AT105" s="31">
        <f t="shared" si="130"/>
        <v>2960574.8599353149</v>
      </c>
      <c r="AU105" s="33">
        <f t="shared" si="131"/>
        <v>575149576.14359534</v>
      </c>
    </row>
    <row r="106" spans="1:47" ht="15" customHeight="1" x14ac:dyDescent="0.2">
      <c r="A106" s="41" t="s">
        <v>93</v>
      </c>
      <c r="B106" s="35">
        <v>24</v>
      </c>
      <c r="C106" s="35">
        <v>1</v>
      </c>
      <c r="D106" s="30">
        <f>+Vigencia_2021!D106*1.03</f>
        <v>2593770.55211</v>
      </c>
      <c r="E106" s="30">
        <f t="shared" si="119"/>
        <v>31125246.625320002</v>
      </c>
      <c r="F106" s="30">
        <v>0</v>
      </c>
      <c r="G106" s="30">
        <v>0</v>
      </c>
      <c r="H106" s="30">
        <f t="shared" si="101"/>
        <v>0</v>
      </c>
      <c r="I106" s="30">
        <f t="shared" si="91"/>
        <v>0</v>
      </c>
      <c r="J106" s="30">
        <f t="shared" si="114"/>
        <v>1300037.4277676337</v>
      </c>
      <c r="K106" s="30">
        <f t="shared" si="92"/>
        <v>907819.69323849992</v>
      </c>
      <c r="L106" s="30">
        <v>0</v>
      </c>
      <c r="M106" s="30">
        <f t="shared" si="134"/>
        <v>2901164.7596498593</v>
      </c>
      <c r="N106" s="30">
        <f t="shared" si="121"/>
        <v>1480873.3694721777</v>
      </c>
      <c r="O106" s="30"/>
      <c r="P106" s="30">
        <f t="shared" si="105"/>
        <v>37715141.875448175</v>
      </c>
      <c r="Q106" s="30"/>
      <c r="R106" s="30"/>
      <c r="S106" s="30"/>
      <c r="T106" s="30"/>
      <c r="U106" s="30">
        <f t="shared" si="122"/>
        <v>0</v>
      </c>
      <c r="V106" s="30">
        <f t="shared" si="123"/>
        <v>37715141.875448175</v>
      </c>
      <c r="W106" s="30">
        <f t="shared" si="124"/>
        <v>1988557.4232843337</v>
      </c>
      <c r="X106" s="30">
        <v>0</v>
      </c>
      <c r="Y106" s="30">
        <f t="shared" si="133"/>
        <v>172918.03680733332</v>
      </c>
      <c r="Z106" s="30">
        <f t="shared" si="132"/>
        <v>2161475.4600916668</v>
      </c>
      <c r="AA106" s="30"/>
      <c r="AB106" s="30"/>
      <c r="AC106" s="30"/>
      <c r="AD106" s="30"/>
      <c r="AE106" s="30">
        <f t="shared" si="126"/>
        <v>0</v>
      </c>
      <c r="AF106" s="30">
        <f t="shared" si="127"/>
        <v>2161475.4600916668</v>
      </c>
      <c r="AG106" s="30">
        <f t="shared" si="115"/>
        <v>3735029.5950384</v>
      </c>
      <c r="AH106" s="30">
        <f t="shared" si="116"/>
        <v>2652076.3526459732</v>
      </c>
      <c r="AI106" s="30">
        <f t="shared" si="128"/>
        <v>2593770.55211</v>
      </c>
      <c r="AJ106" s="31">
        <f t="shared" si="106"/>
        <v>1439631.2664822941</v>
      </c>
      <c r="AK106" s="31">
        <f t="shared" si="107"/>
        <v>208561.87801623088</v>
      </c>
      <c r="AL106" s="30">
        <f t="shared" si="108"/>
        <v>1090463.6889895182</v>
      </c>
      <c r="AM106" s="31">
        <f t="shared" si="109"/>
        <v>203464.71806605905</v>
      </c>
      <c r="AN106" s="31">
        <f t="shared" si="110"/>
        <v>203464.71806605905</v>
      </c>
      <c r="AO106" s="30">
        <f t="shared" si="111"/>
        <v>374486.23632912262</v>
      </c>
      <c r="AP106" s="30">
        <v>0</v>
      </c>
      <c r="AQ106" s="32">
        <f t="shared" si="129"/>
        <v>12500949.005743658</v>
      </c>
      <c r="AR106" s="31">
        <f t="shared" si="112"/>
        <v>135274.47348926115</v>
      </c>
      <c r="AS106" s="31">
        <f t="shared" si="113"/>
        <v>127588.484359742</v>
      </c>
      <c r="AT106" s="31">
        <f t="shared" si="130"/>
        <v>262862.95784900314</v>
      </c>
      <c r="AU106" s="33">
        <f t="shared" si="131"/>
        <v>52377566.3412835</v>
      </c>
    </row>
    <row r="107" spans="1:47" ht="15" customHeight="1" thickBot="1" x14ac:dyDescent="0.25">
      <c r="A107" s="41" t="s">
        <v>94</v>
      </c>
      <c r="B107" s="35">
        <v>25</v>
      </c>
      <c r="C107" s="35">
        <v>1</v>
      </c>
      <c r="D107" s="30">
        <f>+Vigencia_2021!D107*1.03</f>
        <v>2876731.9514660002</v>
      </c>
      <c r="E107" s="30">
        <f t="shared" si="119"/>
        <v>34520783.417592004</v>
      </c>
      <c r="F107" s="30">
        <v>0</v>
      </c>
      <c r="G107" s="30">
        <v>0</v>
      </c>
      <c r="H107" s="30">
        <f t="shared" si="101"/>
        <v>0</v>
      </c>
      <c r="I107" s="30">
        <f t="shared" si="91"/>
        <v>0</v>
      </c>
      <c r="J107" s="30">
        <f t="shared" si="114"/>
        <v>1441862.00414624</v>
      </c>
      <c r="K107" s="30">
        <f t="shared" si="92"/>
        <v>1006856.1830130999</v>
      </c>
      <c r="L107" s="30">
        <v>0</v>
      </c>
      <c r="M107" s="30">
        <f t="shared" si="134"/>
        <v>3217660.619117857</v>
      </c>
      <c r="N107" s="30">
        <f t="shared" si="121"/>
        <v>1642425.8246629452</v>
      </c>
      <c r="O107" s="30"/>
      <c r="P107" s="30">
        <f t="shared" si="105"/>
        <v>41829588.048532143</v>
      </c>
      <c r="Q107" s="30"/>
      <c r="R107" s="30"/>
      <c r="S107" s="30"/>
      <c r="T107" s="30"/>
      <c r="U107" s="30">
        <f t="shared" si="122"/>
        <v>0</v>
      </c>
      <c r="V107" s="30">
        <f t="shared" si="123"/>
        <v>41829588.048532143</v>
      </c>
      <c r="W107" s="30">
        <f t="shared" si="124"/>
        <v>2205494.4961239332</v>
      </c>
      <c r="X107" s="30">
        <v>0</v>
      </c>
      <c r="Y107" s="30">
        <f t="shared" si="133"/>
        <v>191782.13009773334</v>
      </c>
      <c r="Z107" s="30">
        <f t="shared" si="132"/>
        <v>2397276.6262216666</v>
      </c>
      <c r="AA107" s="30"/>
      <c r="AB107" s="30"/>
      <c r="AC107" s="30"/>
      <c r="AD107" s="30"/>
      <c r="AE107" s="30">
        <f t="shared" si="126"/>
        <v>0</v>
      </c>
      <c r="AF107" s="30">
        <f t="shared" si="127"/>
        <v>2397276.6262216666</v>
      </c>
      <c r="AG107" s="30">
        <f t="shared" si="115"/>
        <v>4142494.01011104</v>
      </c>
      <c r="AH107" s="30">
        <f t="shared" si="116"/>
        <v>2941398.4884583298</v>
      </c>
      <c r="AI107" s="30">
        <f t="shared" si="128"/>
        <v>2876731.9514660002</v>
      </c>
      <c r="AJ107" s="31">
        <f t="shared" si="106"/>
        <v>1596684.5098345627</v>
      </c>
      <c r="AK107" s="31">
        <f t="shared" si="107"/>
        <v>231314.45372412464</v>
      </c>
      <c r="AL107" s="30">
        <f t="shared" si="108"/>
        <v>1209425.3030507043</v>
      </c>
      <c r="AM107" s="31">
        <f t="shared" si="109"/>
        <v>225661.2308982028</v>
      </c>
      <c r="AN107" s="31">
        <f t="shared" si="110"/>
        <v>225661.2308982028</v>
      </c>
      <c r="AO107" s="30">
        <f t="shared" si="111"/>
        <v>415339.94614745991</v>
      </c>
      <c r="AP107" s="30">
        <v>0</v>
      </c>
      <c r="AQ107" s="32">
        <f t="shared" si="129"/>
        <v>13864711.124588629</v>
      </c>
      <c r="AR107" s="31">
        <f t="shared" si="112"/>
        <v>150031.92930374297</v>
      </c>
      <c r="AS107" s="31">
        <f t="shared" si="113"/>
        <v>141507.45496675067</v>
      </c>
      <c r="AT107" s="31">
        <f t="shared" si="130"/>
        <v>291539.38427049364</v>
      </c>
      <c r="AU107" s="33">
        <f t="shared" si="131"/>
        <v>58091575.799342439</v>
      </c>
    </row>
    <row r="108" spans="1:47" ht="15" customHeight="1" thickTop="1" thickBot="1" x14ac:dyDescent="0.25">
      <c r="A108" s="43" t="s">
        <v>95</v>
      </c>
      <c r="B108" s="44"/>
      <c r="C108" s="45">
        <f t="shared" ref="C108:AT108" si="135">+C84+C52+C29+C24+C15</f>
        <v>1371</v>
      </c>
      <c r="D108" s="75">
        <f t="shared" si="135"/>
        <v>288745567.25414294</v>
      </c>
      <c r="E108" s="75">
        <f t="shared" si="135"/>
        <v>59944336261.26577</v>
      </c>
      <c r="F108" s="75">
        <f t="shared" si="135"/>
        <v>193965252</v>
      </c>
      <c r="G108" s="75">
        <f>+G84+G52+G29+G24+G15</f>
        <v>1998050423.3388062</v>
      </c>
      <c r="H108" s="75">
        <f t="shared" si="135"/>
        <v>29451660</v>
      </c>
      <c r="I108" s="75">
        <f t="shared" si="135"/>
        <v>38157504</v>
      </c>
      <c r="J108" s="75">
        <f t="shared" si="135"/>
        <v>2525134030.5455794</v>
      </c>
      <c r="K108" s="75">
        <f t="shared" si="135"/>
        <v>2351960622.4600348</v>
      </c>
      <c r="L108" s="75">
        <f t="shared" si="135"/>
        <v>641436733.11980963</v>
      </c>
      <c r="M108" s="75">
        <f t="shared" si="135"/>
        <v>6172248390.3153467</v>
      </c>
      <c r="N108" s="75">
        <f t="shared" si="135"/>
        <v>4908516691.265234</v>
      </c>
      <c r="O108" s="75">
        <f t="shared" si="135"/>
        <v>0</v>
      </c>
      <c r="P108" s="75">
        <f t="shared" si="135"/>
        <v>78803257568.310577</v>
      </c>
      <c r="Q108" s="75">
        <f t="shared" si="135"/>
        <v>0</v>
      </c>
      <c r="R108" s="75">
        <f t="shared" si="135"/>
        <v>0</v>
      </c>
      <c r="S108" s="75">
        <f t="shared" si="135"/>
        <v>0</v>
      </c>
      <c r="T108" s="75">
        <f t="shared" si="135"/>
        <v>0</v>
      </c>
      <c r="U108" s="75">
        <f t="shared" si="135"/>
        <v>0</v>
      </c>
      <c r="V108" s="75">
        <f>+V84+V52+V29+V24+V15</f>
        <v>78803257568.310577</v>
      </c>
      <c r="W108" s="75">
        <f t="shared" si="135"/>
        <v>5488010500.7576504</v>
      </c>
      <c r="X108" s="75">
        <f t="shared" si="135"/>
        <v>103000000</v>
      </c>
      <c r="Y108" s="75">
        <f t="shared" si="135"/>
        <v>334857684.70035183</v>
      </c>
      <c r="Z108" s="75">
        <f t="shared" si="135"/>
        <v>5925868185.458003</v>
      </c>
      <c r="AA108" s="75">
        <f t="shared" si="135"/>
        <v>0</v>
      </c>
      <c r="AB108" s="75">
        <f t="shared" si="135"/>
        <v>0</v>
      </c>
      <c r="AC108" s="75">
        <f t="shared" si="135"/>
        <v>0</v>
      </c>
      <c r="AD108" s="75">
        <f t="shared" si="135"/>
        <v>0</v>
      </c>
      <c r="AE108" s="75">
        <f t="shared" si="135"/>
        <v>0</v>
      </c>
      <c r="AF108" s="75">
        <f>+AF84+AF52+AF29+AF24+AF15</f>
        <v>4033880955.9642572</v>
      </c>
      <c r="AG108" s="75">
        <f t="shared" si="135"/>
        <v>7261400578.4787474</v>
      </c>
      <c r="AH108" s="75">
        <f t="shared" si="135"/>
        <v>5151273422.3129816</v>
      </c>
      <c r="AI108" s="75">
        <f t="shared" si="135"/>
        <v>5046480544.9520893</v>
      </c>
      <c r="AJ108" s="75">
        <f t="shared" si="135"/>
        <v>2772596206.8375826</v>
      </c>
      <c r="AK108" s="75">
        <f t="shared" si="135"/>
        <v>401670820.39811796</v>
      </c>
      <c r="AL108" s="75">
        <f t="shared" si="135"/>
        <v>2100131858.8850212</v>
      </c>
      <c r="AM108" s="75">
        <f t="shared" si="135"/>
        <v>391854163.40231448</v>
      </c>
      <c r="AN108" s="75">
        <f t="shared" si="135"/>
        <v>391854163.40231448</v>
      </c>
      <c r="AO108" s="75">
        <f t="shared" si="135"/>
        <v>721225735.04260457</v>
      </c>
      <c r="AP108" s="75">
        <f t="shared" si="135"/>
        <v>0</v>
      </c>
      <c r="AQ108" s="75">
        <f t="shared" si="135"/>
        <v>24238487493.711777</v>
      </c>
      <c r="AR108" s="75">
        <f t="shared" si="135"/>
        <v>260526081.09487015</v>
      </c>
      <c r="AS108" s="75">
        <f t="shared" si="135"/>
        <v>245723579.36929247</v>
      </c>
      <c r="AT108" s="75">
        <f t="shared" si="135"/>
        <v>506249660.46416271</v>
      </c>
      <c r="AU108" s="75">
        <f>+AU84+AU52+AU29+AU24+AU15</f>
        <v>107075626017.98662</v>
      </c>
    </row>
    <row r="109" spans="1:47" ht="15" customHeight="1" thickTop="1" thickBot="1" x14ac:dyDescent="0.25">
      <c r="A109" s="20" t="s">
        <v>96</v>
      </c>
      <c r="B109" s="46"/>
      <c r="C109" s="46"/>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8"/>
      <c r="AH109" s="48"/>
      <c r="AI109" s="48"/>
      <c r="AJ109" s="48"/>
      <c r="AK109" s="48"/>
      <c r="AL109" s="48"/>
      <c r="AM109" s="48"/>
      <c r="AN109" s="48"/>
      <c r="AO109" s="47"/>
      <c r="AP109" s="47"/>
      <c r="AQ109" s="49"/>
      <c r="AR109" s="48"/>
      <c r="AS109" s="48"/>
      <c r="AT109" s="48"/>
      <c r="AU109" s="49"/>
    </row>
    <row r="110" spans="1:47" ht="15" customHeight="1" thickTop="1" thickBot="1" x14ac:dyDescent="0.25">
      <c r="A110" s="41" t="s">
        <v>97</v>
      </c>
      <c r="B110" s="35"/>
      <c r="C110" s="35">
        <v>0</v>
      </c>
      <c r="D110" s="30"/>
      <c r="E110" s="30"/>
      <c r="F110" s="30"/>
      <c r="G110" s="30"/>
      <c r="H110" s="30"/>
      <c r="I110" s="30"/>
      <c r="J110" s="30"/>
      <c r="K110" s="30"/>
      <c r="L110" s="30"/>
      <c r="M110" s="30"/>
      <c r="N110" s="30"/>
      <c r="O110" s="30"/>
      <c r="P110" s="30">
        <f>SUM(E110:O110)</f>
        <v>0</v>
      </c>
      <c r="Q110" s="30"/>
      <c r="R110" s="30"/>
      <c r="S110" s="30"/>
      <c r="T110" s="30"/>
      <c r="U110" s="30">
        <f t="shared" ref="U110" si="136">SUM(Q110:T110)</f>
        <v>0</v>
      </c>
      <c r="V110" s="30">
        <f>P110+U110</f>
        <v>0</v>
      </c>
      <c r="W110" s="30"/>
      <c r="X110" s="30"/>
      <c r="Y110" s="30"/>
      <c r="Z110" s="30">
        <f>SUM(W110:Y110)</f>
        <v>0</v>
      </c>
      <c r="AA110" s="30"/>
      <c r="AB110" s="30"/>
      <c r="AC110" s="30"/>
      <c r="AD110" s="30"/>
      <c r="AE110" s="30">
        <f>SUM(AA110:AD110)</f>
        <v>0</v>
      </c>
      <c r="AF110" s="30">
        <f>Z110+AE110</f>
        <v>0</v>
      </c>
      <c r="AG110" s="31"/>
      <c r="AH110" s="31"/>
      <c r="AI110" s="31"/>
      <c r="AJ110" s="31"/>
      <c r="AK110" s="31"/>
      <c r="AL110" s="31"/>
      <c r="AM110" s="31"/>
      <c r="AN110" s="31"/>
      <c r="AO110" s="30"/>
      <c r="AP110" s="30"/>
      <c r="AQ110" s="32">
        <f>SUM(AG110:AP110)</f>
        <v>0</v>
      </c>
      <c r="AR110" s="31"/>
      <c r="AS110" s="31"/>
      <c r="AT110" s="31">
        <f>SUM(AR110:AS110)</f>
        <v>0</v>
      </c>
      <c r="AU110" s="33"/>
    </row>
    <row r="111" spans="1:47" ht="15" customHeight="1" thickTop="1" thickBot="1" x14ac:dyDescent="0.25">
      <c r="A111" s="43" t="s">
        <v>98</v>
      </c>
      <c r="B111" s="44"/>
      <c r="C111" s="45">
        <f t="shared" ref="C111:AT111" si="137">SUM(C110:C110)</f>
        <v>0</v>
      </c>
      <c r="D111" s="50">
        <f t="shared" si="137"/>
        <v>0</v>
      </c>
      <c r="E111" s="50">
        <f t="shared" si="137"/>
        <v>0</v>
      </c>
      <c r="F111" s="50">
        <f t="shared" si="137"/>
        <v>0</v>
      </c>
      <c r="G111" s="50">
        <f t="shared" si="137"/>
        <v>0</v>
      </c>
      <c r="H111" s="50">
        <f t="shared" si="137"/>
        <v>0</v>
      </c>
      <c r="I111" s="50">
        <f t="shared" si="137"/>
        <v>0</v>
      </c>
      <c r="J111" s="50">
        <f t="shared" si="137"/>
        <v>0</v>
      </c>
      <c r="K111" s="50">
        <f t="shared" si="137"/>
        <v>0</v>
      </c>
      <c r="L111" s="50">
        <f t="shared" si="137"/>
        <v>0</v>
      </c>
      <c r="M111" s="50">
        <f t="shared" si="137"/>
        <v>0</v>
      </c>
      <c r="N111" s="50">
        <f t="shared" si="137"/>
        <v>0</v>
      </c>
      <c r="O111" s="50">
        <f t="shared" si="137"/>
        <v>0</v>
      </c>
      <c r="P111" s="50">
        <f t="shared" si="137"/>
        <v>0</v>
      </c>
      <c r="Q111" s="50">
        <f t="shared" si="137"/>
        <v>0</v>
      </c>
      <c r="R111" s="50">
        <f t="shared" si="137"/>
        <v>0</v>
      </c>
      <c r="S111" s="50">
        <f t="shared" si="137"/>
        <v>0</v>
      </c>
      <c r="T111" s="50">
        <f t="shared" si="137"/>
        <v>0</v>
      </c>
      <c r="U111" s="51">
        <f t="shared" si="137"/>
        <v>0</v>
      </c>
      <c r="V111" s="52">
        <f t="shared" si="137"/>
        <v>0</v>
      </c>
      <c r="W111" s="50">
        <f t="shared" si="137"/>
        <v>0</v>
      </c>
      <c r="X111" s="50">
        <f t="shared" si="137"/>
        <v>0</v>
      </c>
      <c r="Y111" s="50">
        <f t="shared" si="137"/>
        <v>0</v>
      </c>
      <c r="Z111" s="50">
        <f t="shared" si="137"/>
        <v>0</v>
      </c>
      <c r="AA111" s="50">
        <f t="shared" si="137"/>
        <v>0</v>
      </c>
      <c r="AB111" s="50">
        <f t="shared" si="137"/>
        <v>0</v>
      </c>
      <c r="AC111" s="50">
        <f t="shared" si="137"/>
        <v>0</v>
      </c>
      <c r="AD111" s="50">
        <f t="shared" si="137"/>
        <v>0</v>
      </c>
      <c r="AE111" s="50">
        <f t="shared" si="137"/>
        <v>0</v>
      </c>
      <c r="AF111" s="50">
        <f t="shared" si="137"/>
        <v>0</v>
      </c>
      <c r="AG111" s="50">
        <f t="shared" si="137"/>
        <v>0</v>
      </c>
      <c r="AH111" s="50">
        <f t="shared" si="137"/>
        <v>0</v>
      </c>
      <c r="AI111" s="50">
        <f t="shared" si="137"/>
        <v>0</v>
      </c>
      <c r="AJ111" s="50">
        <f t="shared" si="137"/>
        <v>0</v>
      </c>
      <c r="AK111" s="50">
        <f t="shared" si="137"/>
        <v>0</v>
      </c>
      <c r="AL111" s="50">
        <f t="shared" si="137"/>
        <v>0</v>
      </c>
      <c r="AM111" s="50">
        <f t="shared" si="137"/>
        <v>0</v>
      </c>
      <c r="AN111" s="50">
        <f t="shared" si="137"/>
        <v>0</v>
      </c>
      <c r="AO111" s="50">
        <f t="shared" si="137"/>
        <v>0</v>
      </c>
      <c r="AP111" s="50">
        <f t="shared" si="137"/>
        <v>0</v>
      </c>
      <c r="AQ111" s="51">
        <f t="shared" si="137"/>
        <v>0</v>
      </c>
      <c r="AR111" s="50">
        <f t="shared" si="137"/>
        <v>0</v>
      </c>
      <c r="AS111" s="50">
        <f t="shared" si="137"/>
        <v>0</v>
      </c>
      <c r="AT111" s="50">
        <f t="shared" si="137"/>
        <v>0</v>
      </c>
      <c r="AU111" s="51">
        <f>V111+AF111+AQ111</f>
        <v>0</v>
      </c>
    </row>
    <row r="112" spans="1:47" ht="15" customHeight="1" thickTop="1" thickBot="1" x14ac:dyDescent="0.25">
      <c r="A112" s="53" t="s">
        <v>99</v>
      </c>
      <c r="B112" s="54"/>
      <c r="C112" s="55">
        <f t="shared" ref="C112:O112" si="138">C108+C111</f>
        <v>1371</v>
      </c>
      <c r="D112" s="56">
        <f t="shared" si="138"/>
        <v>288745567.25414294</v>
      </c>
      <c r="E112" s="56">
        <f t="shared" si="138"/>
        <v>59944336261.26577</v>
      </c>
      <c r="F112" s="56">
        <f t="shared" si="138"/>
        <v>193965252</v>
      </c>
      <c r="G112" s="56">
        <f t="shared" si="138"/>
        <v>1998050423.3388062</v>
      </c>
      <c r="H112" s="56">
        <f t="shared" si="138"/>
        <v>29451660</v>
      </c>
      <c r="I112" s="56">
        <f t="shared" si="138"/>
        <v>38157504</v>
      </c>
      <c r="J112" s="56">
        <f t="shared" si="138"/>
        <v>2525134030.5455794</v>
      </c>
      <c r="K112" s="56">
        <f t="shared" si="138"/>
        <v>2351960622.4600348</v>
      </c>
      <c r="L112" s="56">
        <f t="shared" si="138"/>
        <v>641436733.11980963</v>
      </c>
      <c r="M112" s="56">
        <f t="shared" si="138"/>
        <v>6172248390.3153467</v>
      </c>
      <c r="N112" s="56">
        <f t="shared" si="138"/>
        <v>4908516691.265234</v>
      </c>
      <c r="O112" s="56">
        <f t="shared" si="138"/>
        <v>0</v>
      </c>
      <c r="P112" s="56">
        <f>SUM(E112:O112)</f>
        <v>78803257568.310577</v>
      </c>
      <c r="Q112" s="56">
        <f>Q108+Q111</f>
        <v>0</v>
      </c>
      <c r="R112" s="56">
        <f>R108+R111</f>
        <v>0</v>
      </c>
      <c r="S112" s="56">
        <f>S108+S111</f>
        <v>0</v>
      </c>
      <c r="T112" s="56">
        <f>T108+T111</f>
        <v>0</v>
      </c>
      <c r="U112" s="57">
        <f>SUM(Q112:T112)</f>
        <v>0</v>
      </c>
      <c r="V112" s="58">
        <f>P112+U112</f>
        <v>78803257568.310577</v>
      </c>
      <c r="W112" s="56">
        <f>W108+W111</f>
        <v>5488010500.7576504</v>
      </c>
      <c r="X112" s="56">
        <f>X108+X111</f>
        <v>103000000</v>
      </c>
      <c r="Y112" s="56">
        <f>Y108+Y111</f>
        <v>334857684.70035183</v>
      </c>
      <c r="Z112" s="56">
        <f>SUM(W112:Y112)</f>
        <v>5925868185.4580021</v>
      </c>
      <c r="AA112" s="56">
        <f>AA108+AA111</f>
        <v>0</v>
      </c>
      <c r="AB112" s="56">
        <f>AB108+AB111</f>
        <v>0</v>
      </c>
      <c r="AC112" s="56">
        <f>AC108+AC111</f>
        <v>0</v>
      </c>
      <c r="AD112" s="56">
        <f>AD108+AD111</f>
        <v>0</v>
      </c>
      <c r="AE112" s="56">
        <f>SUM(AA112:AD112)</f>
        <v>0</v>
      </c>
      <c r="AF112" s="56">
        <f>+AF111+AF108</f>
        <v>4033880955.9642572</v>
      </c>
      <c r="AG112" s="56">
        <f t="shared" ref="AG112:AP112" si="139">AG108+AG111</f>
        <v>7261400578.4787474</v>
      </c>
      <c r="AH112" s="56">
        <f t="shared" si="139"/>
        <v>5151273422.3129816</v>
      </c>
      <c r="AI112" s="56">
        <f t="shared" si="139"/>
        <v>5046480544.9520893</v>
      </c>
      <c r="AJ112" s="56">
        <f t="shared" si="139"/>
        <v>2772596206.8375826</v>
      </c>
      <c r="AK112" s="56">
        <f t="shared" si="139"/>
        <v>401670820.39811796</v>
      </c>
      <c r="AL112" s="56">
        <f t="shared" si="139"/>
        <v>2100131858.8850212</v>
      </c>
      <c r="AM112" s="56">
        <f t="shared" si="139"/>
        <v>391854163.40231448</v>
      </c>
      <c r="AN112" s="56">
        <f t="shared" si="139"/>
        <v>391854163.40231448</v>
      </c>
      <c r="AO112" s="56">
        <f t="shared" si="139"/>
        <v>721225735.04260457</v>
      </c>
      <c r="AP112" s="56">
        <f t="shared" si="139"/>
        <v>0</v>
      </c>
      <c r="AQ112" s="57">
        <f>SUM(AG112:AP112)</f>
        <v>24238487493.711773</v>
      </c>
      <c r="AR112" s="56">
        <f>AR108+AR111</f>
        <v>260526081.09487015</v>
      </c>
      <c r="AS112" s="56">
        <f>AS108+AS111</f>
        <v>245723579.36929247</v>
      </c>
      <c r="AT112" s="59">
        <f>SUM(AR112:AS112)</f>
        <v>506249660.46416259</v>
      </c>
      <c r="AU112" s="57">
        <f>V112+AF112+AQ112</f>
        <v>107075626017.98662</v>
      </c>
    </row>
    <row r="113" spans="1:47" ht="17" thickTop="1" x14ac:dyDescent="0.2">
      <c r="A113" s="84" t="s">
        <v>115</v>
      </c>
      <c r="B113" s="84"/>
      <c r="C113" s="84"/>
      <c r="D113" s="84"/>
      <c r="E113" s="2"/>
      <c r="F113" s="2"/>
      <c r="G113" s="2"/>
      <c r="H113" s="2"/>
      <c r="I113" s="2"/>
      <c r="J113" s="2"/>
      <c r="K113" s="2"/>
      <c r="L113" s="2"/>
      <c r="M113" s="2"/>
      <c r="N113" s="2"/>
      <c r="O113" s="2"/>
      <c r="P113" s="2"/>
      <c r="Q113" s="2"/>
      <c r="R113" s="2"/>
      <c r="S113" s="2"/>
      <c r="T113" s="2"/>
      <c r="U113" s="2"/>
      <c r="V113" s="2"/>
      <c r="W113" s="1"/>
      <c r="X113" s="1"/>
      <c r="Y113" s="1"/>
      <c r="Z113" s="1"/>
      <c r="AA113" s="1"/>
      <c r="AB113" s="1"/>
      <c r="AC113" s="1"/>
      <c r="AD113" s="1"/>
      <c r="AE113" s="1"/>
      <c r="AF113" s="3"/>
      <c r="AG113" s="1"/>
      <c r="AH113" s="2"/>
      <c r="AI113" s="2"/>
      <c r="AJ113" s="2"/>
      <c r="AK113" s="1"/>
      <c r="AL113" s="1"/>
      <c r="AM113" s="1"/>
      <c r="AN113" s="1"/>
      <c r="AO113" s="1"/>
      <c r="AP113" s="1"/>
      <c r="AQ113" s="1"/>
      <c r="AR113" s="1"/>
      <c r="AS113" s="1"/>
      <c r="AT113" s="1"/>
      <c r="AU113" s="3"/>
    </row>
    <row r="114" spans="1:47" x14ac:dyDescent="0.2">
      <c r="A114" s="85"/>
      <c r="B114" s="85"/>
      <c r="C114" s="85"/>
      <c r="D114" s="85"/>
    </row>
  </sheetData>
  <sheetProtection algorithmName="SHA-512" hashValue="UiX2nTkr7Y81beTy2exSmD9hnc0p2zZzEU9hhCSP85A1eLkW4WfKfOZ1f2VC6Oo0M63v8Hqd+g3QLUSMneoq5g==" saltValue="BPIObZ+EurwUTouYsGmKMA==" spinCount="100000" sheet="1" objects="1" scenarios="1"/>
  <mergeCells count="62">
    <mergeCell ref="AD11:AD12"/>
    <mergeCell ref="Y11:Y12"/>
    <mergeCell ref="Z11:Z12"/>
    <mergeCell ref="AA11:AA12"/>
    <mergeCell ref="AB11:AB12"/>
    <mergeCell ref="AC11:AC12"/>
    <mergeCell ref="AS10:AS12"/>
    <mergeCell ref="AT10:AT12"/>
    <mergeCell ref="D11:E11"/>
    <mergeCell ref="F11:F12"/>
    <mergeCell ref="G11:G12"/>
    <mergeCell ref="H11:H12"/>
    <mergeCell ref="I11:I12"/>
    <mergeCell ref="J11:J12"/>
    <mergeCell ref="K11:K12"/>
    <mergeCell ref="L11:L12"/>
    <mergeCell ref="AM10:AM12"/>
    <mergeCell ref="AN10:AN12"/>
    <mergeCell ref="AO10:AO12"/>
    <mergeCell ref="AP10:AP12"/>
    <mergeCell ref="AQ10:AQ12"/>
    <mergeCell ref="M11:M12"/>
    <mergeCell ref="AF10:AF12"/>
    <mergeCell ref="AG10:AG12"/>
    <mergeCell ref="AH10:AH12"/>
    <mergeCell ref="AG9:AQ9"/>
    <mergeCell ref="AI10:AI12"/>
    <mergeCell ref="AJ10:AJ12"/>
    <mergeCell ref="AK10:AK12"/>
    <mergeCell ref="AL10:AL12"/>
    <mergeCell ref="D10:P10"/>
    <mergeCell ref="Q10:U10"/>
    <mergeCell ref="V10:V12"/>
    <mergeCell ref="W10:Z10"/>
    <mergeCell ref="AA10:AE10"/>
    <mergeCell ref="R11:R12"/>
    <mergeCell ref="N11:N12"/>
    <mergeCell ref="O11:O12"/>
    <mergeCell ref="P11:P12"/>
    <mergeCell ref="Q11:Q12"/>
    <mergeCell ref="AE11:AE12"/>
    <mergeCell ref="S11:S12"/>
    <mergeCell ref="T11:T12"/>
    <mergeCell ref="U11:U12"/>
    <mergeCell ref="W11:W12"/>
    <mergeCell ref="X11:X12"/>
    <mergeCell ref="D7:K7"/>
    <mergeCell ref="A113:D114"/>
    <mergeCell ref="D12:D13"/>
    <mergeCell ref="A1:AU1"/>
    <mergeCell ref="A2:AU2"/>
    <mergeCell ref="A3:AU3"/>
    <mergeCell ref="B4:L4"/>
    <mergeCell ref="B5:L5"/>
    <mergeCell ref="A9:A12"/>
    <mergeCell ref="B9:B12"/>
    <mergeCell ref="C9:C12"/>
    <mergeCell ref="D9:V9"/>
    <mergeCell ref="W9:AF9"/>
    <mergeCell ref="AR10:AR12"/>
    <mergeCell ref="AR9:AT9"/>
    <mergeCell ref="AU9:AU12"/>
  </mergeCells>
  <dataValidations disablePrompts="1" count="1">
    <dataValidation type="list" allowBlank="1" showInputMessage="1" showErrorMessage="1" sqref="B4:L4" xr:uid="{00000000-0002-0000-0200-000000000000}">
      <formula1>#REF!</formula1>
    </dataValidation>
  </dataValidations>
  <pageMargins left="0.7" right="0.7" top="0.75" bottom="0.75" header="0.3" footer="0.3"/>
  <ignoredErrors>
    <ignoredError sqref="C16:F17 C52:U52 C30:F30 H30:AU30 C31:F51 H31:AU51 C84:G84 C53:F83 C109:AU112 C85:F107 C108:F108 W108:AU108 W84:AU84 W52:AU52 C29:G29 W29:AU29 C27:F28 C24:F24 W24:AU24 C15:F15 W15:AU15 H15:U15 I24:U24 H108:I108 C18:F23 H18:AU23 H16:AU17 G16:G17 G15 G18:G23 C25:F26 H25:AU26 G25:G26 H27:AU28 G27:G28 J53:AU53 J54:AU83 J85:AU107 J84:U84 I29:U29 H53:H83 H85:H107 J108:U108 I53:I83 I85:I107" unlockedFormula="1"/>
    <ignoredError sqref="B28:B37 B58:B85 B86:B97" numberStoredAsText="1"/>
    <ignoredError sqref="G24:H24 H84:I84 H29" formula="1" unlockedFormula="1"/>
  </ignoredError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Vigencia_2020</vt:lpstr>
      <vt:lpstr>Vigencia_2021</vt:lpstr>
      <vt:lpstr>Vigencia_2022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MORENO</dc:creator>
  <cp:lastModifiedBy>Laura Evelyn Arroyo Espana</cp:lastModifiedBy>
  <dcterms:created xsi:type="dcterms:W3CDTF">2021-04-30T16:31:43Z</dcterms:created>
  <dcterms:modified xsi:type="dcterms:W3CDTF">2021-09-28T21:47:20Z</dcterms:modified>
</cp:coreProperties>
</file>